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<sst xmlns="http://schemas.openxmlformats.org/spreadsheetml/2006/main" count="121" uniqueCount="108">
  <si>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DoorDash, Inc. (DASH)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</si>
  <si>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</si>
  <si>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</si>
  <si>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</si>
  <si>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</si>
  <si>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</si>
  <si>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</si>
  <si>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</si>
  <si>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</si>
  <si>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</si>
  <si>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</si>
  <si>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</si>
  <si>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</si>
  <si>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</si>
  <si>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</si>
  <si>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</si>
  <si>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</si>
  <si>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</si>
  <si>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</si>
  <si>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</si>
  <si>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</si>
  <si>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</si>
  <si>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</si>
  <si>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</si>
  <si>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Assumed: risk-free + 200bp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</si>
  <si>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</si>
  <si>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</si>
  <si>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</si>
  <si>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</si>
  <si>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</si>
  <si>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</si>
  <si>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</si>
  <si>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</si>
  <si>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</si>
  <si>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</si>
  <si>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</si>
  <si>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</si>
  <si>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</si>
  <si>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</si>
  <si>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</si>
  <si>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</si>
  <si>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</si>
  <si>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</si>
  <si>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</si>
  <si>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</si>
  <si>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</si>
  <si>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</si>
  <si>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</si>
  <si>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</si>
  <si>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</si>
  <si>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</si>
  <si>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</si>
  <si>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</si>
  <si>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</si>
  <si>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</si>
  <si>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</si>
  <si>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</si>
  <si>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</si>
  <si>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</si>
  <si>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</si>
  <si>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</si>
  <si>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</si>
  <si>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</si>
  <si>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</si>
  <si>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</si>
  <si>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</si>
  <si>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</si>
  <si>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</si>
  <si>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</si>
  <si>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</si>
  <si>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</si>
  <si>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</si>
  <si>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</si>
  <si>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</si>
  <si>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</si>
  <si>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</si>
  <si>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</si>
  <si>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</si>
  <si>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</si>
  <si>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</si>
  <si>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</si>
  <si>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</si>
  <si>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</si>
  <si>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</si>
  <si>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</si>
  <si>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</si>
  <si>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</si>
  <si>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</si>
  <si>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</si>
  <si>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</si>
  <si>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</si>
  <si>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</si>
  <si>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</si>
  <si>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</si>
  <si>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</si>
  <si>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</si>
  <si>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</si>
  <si>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</si>
  <si>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</si>
  <si>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</si>
  <si>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</si>
  <si>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</si>
  <si>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</si>
  <si>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</si>
  <si>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</si>
  <si>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</si>
  <si>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Current EV/EBITDA of 51.5x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</si>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</sst>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0.3088138259094555</v>
      </c>
    </row>
    <row r="7" spans="1:2" x14ac:dyDescent="0.25">
      <c r="A7" t="s">
        <v>4</v>
      </c>
      <c r="B7" s="5">
        <v>-0.043569625139218394</v>
      </c>
    </row>
    <row r="8" spans="1:2" x14ac:dyDescent="0.25">
      <c r="A8" t="s">
        <v>5</v>
      </c>
      <c r="B8" s="5">
        <v>0.12872736954206604</v>
      </c>
    </row>
    <row r="9" spans="1:2" x14ac:dyDescent="0.25">
      <c r="A9" t="s">
        <v>6</v>
      </c>
      <c r="B9" s="5">
        <v>0.055444980059366517</v>
      </c>
    </row>
    <row r="10" spans="1:3" x14ac:dyDescent="0.25">
      <c r="A10" t="s">
        <v>7</v>
      </c>
      <c r="B10" s="5">
        <v>0.041241257807962735</v>
      </c>
      <c r="C10" s="6" t="s">
        <v>8</v>
      </c>
    </row>
    <row r="11" spans="1:2" x14ac:dyDescent="0.25">
      <c r="A11" t="s">
        <v>9</v>
      </c>
      <c r="B11" s="5">
        <v>0.03762283105123752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0.11426350744381876</v>
      </c>
      <c r="C14" s="6" t="s">
        <v>13</v>
      </c>
    </row>
    <row r="15" spans="1:3" x14ac:dyDescent="0.25">
      <c r="A15" t="s">
        <v>14</v>
      </c>
      <c r="B15" s="5">
        <v>0.013697870617862772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1.5983100000000001</v>
      </c>
      <c r="C19" s="6" t="s">
        <v>21</v>
      </c>
    </row>
    <row r="20" spans="1:2" x14ac:dyDescent="0.25">
      <c r="A20" t="s">
        <v>22</v>
      </c>
      <c r="B20" s="9">
        <f>B17+B19*B18</f>
        <v>0.11654851299999999</v>
      </c>
    </row>
    <row r="21" spans="1:3" x14ac:dyDescent="0.25">
      <c r="A21" t="s">
        <v>23</v>
      </c>
      <c r="B21" s="5">
        <v>0.06894</v>
      </c>
      <c r="C21" s="6" t="s">
        <v>24</v>
      </c>
    </row>
    <row r="22" spans="1:2" x14ac:dyDescent="0.25">
      <c r="A22" t="s">
        <v>25</v>
      </c>
      <c r="B22" s="10">
        <v>78035402752</v>
      </c>
    </row>
    <row r="23" spans="1:2" x14ac:dyDescent="0.25">
      <c r="A23" t="s">
        <v>26</v>
      </c>
      <c r="B23" s="10">
        <v>3290000000</v>
      </c>
    </row>
    <row r="24" spans="1:2" x14ac:dyDescent="0.25">
      <c r="A24" t="s">
        <v>27</v>
      </c>
      <c r="B24" s="9">
        <f>B22/(B22+B23)</f>
        <v>0.9595452356991975</v>
      </c>
    </row>
    <row r="25" spans="1:2" x14ac:dyDescent="0.25">
      <c r="A25" t="s">
        <v>28</v>
      </c>
      <c r="B25" s="9">
        <f>1-B24</f>
        <v>0.040454764300802526</v>
      </c>
    </row>
    <row r="26" spans="1:2" x14ac:dyDescent="0.25">
      <c r="A26" t="s">
        <v>29</v>
      </c>
      <c r="B26" s="11">
        <f>B24*B20+B25*B21*(1-B8)</f>
        <v>0.11426350744381876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13717000000</v>
      </c>
      <c r="C29" s="6" t="s">
        <v>32</v>
      </c>
    </row>
    <row r="30" spans="1:2" x14ac:dyDescent="0.25">
      <c r="A30" t="s">
        <v>33</v>
      </c>
      <c r="B30" s="10">
        <v>-2216000000</v>
      </c>
    </row>
    <row r="31" spans="1:2" x14ac:dyDescent="0.25">
      <c r="A31" t="s">
        <v>34</v>
      </c>
      <c r="B31" s="12">
        <v>439686000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0.3088138259094555</v>
      </c>
      <c r="C5" s="5">
        <v>0.2072242920636227</v>
      </c>
      <c r="D5" s="5">
        <v>0.18444625555566985</v>
      </c>
      <c r="E5" s="5">
        <v>0.16166821904771703</v>
      </c>
      <c r="F5" s="5">
        <v>0.13889018253976418</v>
      </c>
      <c r="G5" s="5">
        <v>0.11611214603181134</v>
      </c>
      <c r="H5" s="5">
        <v>0.09333410952385851</v>
      </c>
      <c r="I5" s="5">
        <v>0.07055607301590566</v>
      </c>
      <c r="J5" s="5">
        <v>0.04777803650795284</v>
      </c>
      <c r="K5" s="5">
        <v>0.024999999999999994</v>
      </c>
    </row>
    <row r="6" spans="1:11" x14ac:dyDescent="0.25">
      <c r="A6" t="s">
        <v>50</v>
      </c>
      <c r="B6" s="18">
        <f>Assumptions!B29*(1+B5)</f>
        <v>17952999250</v>
      </c>
      <c r="C6" s="18">
        <f>B6*(1+C5)</f>
        <v>21673296810</v>
      </c>
      <c r="D6" s="18">
        <f>C6*(1+D5)</f>
        <v>25670855252.151146</v>
      </c>
      <c r="E6" s="18">
        <f>D6*(1+E5)</f>
        <v>29821016702.198154</v>
      </c>
      <c r="F6" s="18">
        <f>E6*(1+F5)</f>
        <v>33962863155.487812</v>
      </c>
      <c r="G6" s="18">
        <f>F6*(1+G5)</f>
        <v>37906364081.85624</v>
      </c>
      <c r="H6" s="18">
        <f>G6*(1+H5)</f>
        <v>41444320818.723465</v>
      </c>
      <c r="I6" s="18">
        <f>H6*(1+I5)</f>
        <v>44368469344.50394</v>
      </c>
      <c r="J6" s="18">
        <f>I6*(1+J5)</f>
        <v>46488307692.64763</v>
      </c>
      <c r="K6" s="18">
        <f>J6*(1+K5)</f>
        <v>47650515384.96381</v>
      </c>
    </row>
    <row r="7" spans="1:11" x14ac:dyDescent="0.25">
      <c r="A7" t="s">
        <v>4</v>
      </c>
      <c r="B7" s="9">
        <f>Assumptions!B7</f>
        <v>-0.043569625139218394</v>
      </c>
      <c r="C7" s="9">
        <f>Assumptions!B7</f>
        <v>-0.043569625139218394</v>
      </c>
      <c r="D7" s="9">
        <f>Assumptions!B7</f>
        <v>-0.043569625139218394</v>
      </c>
      <c r="E7" s="9">
        <f>Assumptions!B7</f>
        <v>-0.043569625139218394</v>
      </c>
      <c r="F7" s="9">
        <f>Assumptions!B7</f>
        <v>-0.043569625139218394</v>
      </c>
      <c r="G7" s="9">
        <f>Assumptions!B7</f>
        <v>-0.043569625139218394</v>
      </c>
      <c r="H7" s="9">
        <f>Assumptions!B7</f>
        <v>-0.043569625139218394</v>
      </c>
      <c r="I7" s="9">
        <f>Assumptions!B7</f>
        <v>-0.043569625139218394</v>
      </c>
      <c r="J7" s="9">
        <f>Assumptions!B7</f>
        <v>-0.043569625139218394</v>
      </c>
      <c r="K7" s="9">
        <f>Assumptions!B7</f>
        <v>-0.043569625139218394</v>
      </c>
    </row>
    <row r="8" spans="1:11" x14ac:dyDescent="0.25">
      <c r="A8" t="s">
        <v>51</v>
      </c>
      <c r="B8" s="18">
        <f>B6*B7</f>
        <v>-782205447.447169</v>
      </c>
      <c r="C8" s="18">
        <f>C6*C7</f>
        <v>-944297417.5427178</v>
      </c>
      <c r="D8" s="18">
        <f>D6*D7</f>
        <v>-1118469540.3393612</v>
      </c>
      <c r="E8" s="18">
        <f>E6*E7</f>
        <v>-1299290518.9851444</v>
      </c>
      <c r="F8" s="18">
        <f>F6*F7</f>
        <v>-1479749216.339176</v>
      </c>
      <c r="G8" s="18">
        <f>G6*G7</f>
        <v>-1651566073.437209</v>
      </c>
      <c r="H8" s="18">
        <f>H6*H7</f>
        <v>-1805713522.221286</v>
      </c>
      <c r="I8" s="18">
        <f>I6*I7</f>
        <v>-1933117577.3409395</v>
      </c>
      <c r="J8" s="18">
        <f>J6*J7</f>
        <v>-2025478139.5253</v>
      </c>
      <c r="K8" s="18">
        <f>K6*K7</f>
        <v>-2076115093.0134323</v>
      </c>
    </row>
    <row r="9" spans="1:11" x14ac:dyDescent="0.25">
      <c r="A9" t="s">
        <v>52</v>
      </c>
      <c r="B9" s="18">
        <f>B8*(1-Assumptions!B8)</f>
        <v>-681514197.75582</v>
      </c>
      <c r="C9" s="18">
        <f>C8*(1-Assumptions!B8)</f>
        <v>-822740494.9170777</v>
      </c>
      <c r="D9" s="18">
        <f>D8*(1-Assumptions!B8)</f>
        <v>-974491898.4985515</v>
      </c>
      <c r="E9" s="18">
        <f>E8*(1-Assumptions!B8)</f>
        <v>-1132036268.205241</v>
      </c>
      <c r="F9" s="18">
        <f>F8*(1-Assumptions!B8)</f>
        <v>-1289264992.1379</v>
      </c>
      <c r="G9" s="18">
        <f>G8*(1-Assumptions!B8)</f>
        <v>-1438964317.1787183</v>
      </c>
      <c r="H9" s="18">
        <f>H8*(1-Assumptions!B8)</f>
        <v>-1573268770.3592007</v>
      </c>
      <c r="I9" s="18">
        <f>I8*(1-Assumptions!B8)</f>
        <v>-1684272436.5943089</v>
      </c>
      <c r="J9" s="18">
        <f>J8*(1-Assumptions!B8)</f>
        <v>-1764743666.55925</v>
      </c>
      <c r="K9" s="18">
        <f>K8*(1-Assumptions!B8)</f>
        <v>-1808862258.2232313</v>
      </c>
    </row>
    <row r="10" spans="1:11" x14ac:dyDescent="0.25">
      <c r="A10" t="s">
        <v>53</v>
      </c>
      <c r="B10" s="18">
        <f>B6*Assumptions!B9</f>
        <v>995403685.422072</v>
      </c>
      <c r="C10" s="18">
        <f>C6*Assumptions!B9</f>
        <v>1201675509.451182</v>
      </c>
      <c r="D10" s="18">
        <f>D6*Assumptions!B9</f>
        <v>1423320057.5624044</v>
      </c>
      <c r="E10" s="18">
        <f>E6*Assumptions!B9</f>
        <v>1653425676.4034126</v>
      </c>
      <c r="F10" s="18">
        <f>F6*Assumptions!B9</f>
        <v>1883070270.4150155</v>
      </c>
      <c r="G10" s="18">
        <f>G6*Assumptions!B9</f>
        <v>2101717600.6416063</v>
      </c>
      <c r="H10" s="18">
        <f>H6*Assumptions!B9</f>
        <v>2297879541.368111</v>
      </c>
      <c r="I10" s="18">
        <f>I6*Assumptions!B9</f>
        <v>2460008898.0706353</v>
      </c>
      <c r="J10" s="18">
        <f>J6*Assumptions!B9</f>
        <v>2577543293.0125427</v>
      </c>
      <c r="K10" s="18">
        <f>K6*Assumptions!B9</f>
        <v>2641981875.3378563</v>
      </c>
    </row>
    <row r="11" spans="1:11" x14ac:dyDescent="0.25">
      <c r="A11" t="s">
        <v>54</v>
      </c>
      <c r="B11" s="18">
        <f>-B6*B19</f>
        <v>-740404270.4954116</v>
      </c>
      <c r="C11" s="18">
        <f>-C6*C19</f>
        <v>-827505576.2092854</v>
      </c>
      <c r="D11" s="18">
        <f>-D6*D19</f>
        <v>-901573402.7801907</v>
      </c>
      <c r="E11" s="18">
        <f>-E6*E19</f>
        <v>-956065634.7672229</v>
      </c>
      <c r="F11" s="18">
        <f>-F6*F19</f>
        <v>-984914621.9693733</v>
      </c>
      <c r="G11" s="18">
        <f>-G6*G19</f>
        <v>-983267432.0648514</v>
      </c>
      <c r="H11" s="18">
        <f>-H6*H19</f>
        <v>-948204602.8003442</v>
      </c>
      <c r="I11" s="18">
        <f>-I6*I19</f>
        <v>-879321981.5242374</v>
      </c>
      <c r="J11" s="18">
        <f>-J6*J19</f>
        <v>-779062541.6385148</v>
      </c>
      <c r="K11" s="18">
        <f>-K6*K19</f>
        <v>-652710594.6177138</v>
      </c>
    </row>
    <row r="12" spans="1:11" x14ac:dyDescent="0.25">
      <c r="A12" t="s">
        <v>55</v>
      </c>
      <c r="B12" s="18">
        <f>-(B6-Assumptions!B29)*Assumptions!B11</f>
        <v>-159370284.11591884</v>
      </c>
      <c r="C12" s="18">
        <f>-(C6-B6)*Assumptions!B11</f>
        <v>-139968126.56021118</v>
      </c>
      <c r="D12" s="18">
        <f>-(D6-C6)*Assumptions!B11</f>
        <v>-150399465.8865008</v>
      </c>
      <c r="E12" s="18">
        <f>-(E6-D6)*Assumptions!B11</f>
        <v>-156140823.07047752</v>
      </c>
      <c r="F12" s="18">
        <f>-(F6-E6)*Assumptions!B11</f>
        <v>-155827989.3522841</v>
      </c>
      <c r="G12" s="18">
        <f>-(G6-F6)*Assumptions!B11</f>
        <v>-148365669.10315797</v>
      </c>
      <c r="H12" s="18">
        <f>-(H6-G6)*Assumptions!B11</f>
        <v>-133107948.57774322</v>
      </c>
      <c r="I12" s="18">
        <f>-(I6-H6)*Assumptions!B11</f>
        <v>-110014745.95416394</v>
      </c>
      <c r="J12" s="18">
        <f>-(J6-I6)*Assumptions!B11</f>
        <v>-79754320.02814454</v>
      </c>
      <c r="K12" s="18">
        <f>-(K6-J6)*Assumptions!B11</f>
        <v>-43725543.65446046</v>
      </c>
    </row>
    <row r="13" spans="1:11" x14ac:dyDescent="0.25">
      <c r="A13" s="19" t="s">
        <v>56</v>
      </c>
      <c r="B13" s="20">
        <f>B9+B10+B11+B12</f>
        <v>-585885066.9450785</v>
      </c>
      <c r="C13" s="20">
        <f>C9+C10+C11+C12</f>
        <v>-588538688.2353923</v>
      </c>
      <c r="D13" s="20">
        <f>D9+D10+D11+D12</f>
        <v>-603144709.6028386</v>
      </c>
      <c r="E13" s="20">
        <f>E9+E10+E11+E12</f>
        <v>-590817049.6395288</v>
      </c>
      <c r="F13" s="20">
        <f>F9+F10+F11+F12</f>
        <v>-546937333.0445421</v>
      </c>
      <c r="G13" s="20">
        <f>G9+G10+G11+G12</f>
        <v>-468879817.7051214</v>
      </c>
      <c r="H13" s="20">
        <f>H9+H10+H11+H12</f>
        <v>-356701780.36917704</v>
      </c>
      <c r="I13" s="20">
        <f>I9+I10+I11+I12</f>
        <v>-213600266.00207487</v>
      </c>
      <c r="J13" s="20">
        <f>J9+J10+J11+J12</f>
        <v>-46017235.21336669</v>
      </c>
      <c r="K13" s="20">
        <f>K9+K10+K11+K12</f>
        <v>136683478.8424507</v>
      </c>
    </row>
    <row r="14" spans="1:11" x14ac:dyDescent="0.25">
      <c r="A14" t="s">
        <v>57</v>
      </c>
      <c r="B14" s="21">
        <f>1/(1+Assumptions!$B$26)^(1-0.5*Assumptions!$B$32)</f>
        <v>0.9473403733543521</v>
      </c>
      <c r="C14" s="21">
        <f>1/(1+Assumptions!$B$26)^(2-0.5*Assumptions!$B$32)</f>
        <v>0.8501942018433345</v>
      </c>
      <c r="D14" s="21">
        <f>1/(1+Assumptions!$B$26)^(3-0.5*Assumptions!$B$32)</f>
        <v>0.7630100027180523</v>
      </c>
      <c r="E14" s="21">
        <f>1/(1+Assumptions!$B$26)^(4-0.5*Assumptions!$B$32)</f>
        <v>0.6847662133963615</v>
      </c>
      <c r="F14" s="21">
        <f>1/(1+Assumptions!$B$26)^(5-0.5*Assumptions!$B$32)</f>
        <v>0.6145460286743596</v>
      </c>
      <c r="G14" s="21">
        <f>1/(1+Assumptions!$B$26)^(6-0.5*Assumptions!$B$32)</f>
        <v>0.5515266582535416</v>
      </c>
      <c r="H14" s="21">
        <f>1/(1+Assumptions!$B$26)^(7-0.5*Assumptions!$B$32)</f>
        <v>0.49496968586790907</v>
      </c>
      <c r="I14" s="21">
        <f>1/(1+Assumptions!$B$26)^(8-0.5*Assumptions!$B$32)</f>
        <v>0.44421241704612274</v>
      </c>
      <c r="J14" s="21">
        <f>1/(1+Assumptions!$B$26)^(9-0.5*Assumptions!$B$32)</f>
        <v>0.39866011412791424</v>
      </c>
      <c r="K14" s="21">
        <f>1/(1+Assumptions!$B$26)^(10-0.5*Assumptions!$B$32)</f>
        <v>0.35777902755019075</v>
      </c>
    </row>
    <row r="15" spans="1:11" x14ac:dyDescent="0.25">
      <c r="A15" s="19" t="s">
        <v>58</v>
      </c>
      <c r="B15" s="20">
        <f>B13*B14</f>
        <v>-555032578.0624902</v>
      </c>
      <c r="C15" s="20">
        <f>C13*C14</f>
        <v>-500372180.29821247</v>
      </c>
      <c r="D15" s="20">
        <f>D13*D14</f>
        <v>-460205446.5134408</v>
      </c>
      <c r="E15" s="20">
        <f>E13*E14</f>
        <v>-404571553.8916702</v>
      </c>
      <c r="F15" s="20">
        <f>F13*F14</f>
        <v>-336118165.9562689</v>
      </c>
      <c r="G15" s="20">
        <f>G13*G14</f>
        <v>-258599718.9814354</v>
      </c>
      <c r="H15" s="20">
        <f>H13*H14</f>
        <v>-176556568.17785546</v>
      </c>
      <c r="I15" s="20">
        <f>I13*I14</f>
        <v>-94883890.44247644</v>
      </c>
      <c r="J15" s="20">
        <f>J13*J14</f>
        <v>-18345236.242011838</v>
      </c>
      <c r="K15" s="20">
        <f>K13*K14</f>
        <v>48902482.14242908</v>
      </c>
    </row>
    <row r="17" spans="1:2" x14ac:dyDescent="0.25">
      <c r="A17" s="22" t="s">
        <v>59</v>
      </c>
      <c r="B17" s="23">
        <f>SUM(B15:K15)</f>
        <v>-2755782856.423433</v>
      </c>
    </row>
    <row r="19" spans="1:11" x14ac:dyDescent="0.25">
      <c r="A19" t="s">
        <v>7</v>
      </c>
      <c r="B19" s="9">
        <f>Assumptions!$B$10+($B$20-Assumptions!$B$10)*0/9</f>
        <v>0.041241257807962735</v>
      </c>
      <c r="C19" s="9">
        <f>Assumptions!$B$10+($B$20-Assumptions!$B$10)*1/9</f>
        <v>0.03818088145350718</v>
      </c>
      <c r="D19" s="9">
        <f>Assumptions!$B$10+($B$20-Assumptions!$B$10)*2/9</f>
        <v>0.03512050509905163</v>
      </c>
      <c r="E19" s="9">
        <f>Assumptions!$B$10+($B$20-Assumptions!$B$10)*3/9</f>
        <v>0.03206012874459608</v>
      </c>
      <c r="F19" s="9">
        <f>Assumptions!$B$10+($B$20-Assumptions!$B$10)*4/9</f>
        <v>0.028999752390140528</v>
      </c>
      <c r="G19" s="9">
        <f>Assumptions!$B$10+($B$20-Assumptions!$B$10)*5/9</f>
        <v>0.025939376035684976</v>
      </c>
      <c r="H19" s="9">
        <f>Assumptions!$B$10+($B$20-Assumptions!$B$10)*6/9</f>
        <v>0.022878999681229428</v>
      </c>
      <c r="I19" s="9">
        <f>Assumptions!$B$10+($B$20-Assumptions!$B$10)*7/9</f>
        <v>0.019818623326773876</v>
      </c>
      <c r="J19" s="9">
        <f>Assumptions!$B$10+($B$20-Assumptions!$B$10)*8/9</f>
        <v>0.016758246972318324</v>
      </c>
      <c r="K19" s="9">
        <f>Assumptions!$B$10+($B$20-Assumptions!$B$10)*9/9</f>
        <v>0.013697870617862772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0.013697870617862772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136683478.8424507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-75664636.77576976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0.21879251354411675</v>
      </c>
    </row>
    <row r="7" spans="1:2" x14ac:dyDescent="0.25">
      <c r="A7" t="s">
        <v>66</v>
      </c>
      <c r="B7" s="18">
        <f>-MAX(B5,0)*B6</f>
        <v>0</v>
      </c>
    </row>
    <row r="8" spans="1:2" x14ac:dyDescent="0.25">
      <c r="A8" t="s">
        <v>67</v>
      </c>
      <c r="B8" s="18">
        <f>IF(OR(Assumptions!$B$33=0,Assumptions!B12&lt;=0),B5,MAX(B5+B7,0))</f>
        <v>0</v>
      </c>
    </row>
    <row r="9" spans="1:2" x14ac:dyDescent="0.25">
      <c r="A9" t="s">
        <v>68</v>
      </c>
      <c r="B9" s="18">
        <f>B8*(1+Assumptions!B12)/(Assumptions!B26-Assumptions!B12)</f>
        <v>0</v>
      </c>
    </row>
    <row r="10" spans="1:2" x14ac:dyDescent="0.25">
      <c r="A10" t="s">
        <v>69</v>
      </c>
      <c r="B10" s="18">
        <f>B9/(1+Assumptions!B26)^(10-0.5*Assumptions!B32)</f>
        <v>0</v>
      </c>
    </row>
    <row r="11" spans="1:2" x14ac:dyDescent="0.25">
      <c r="A11" t="s">
        <v>70</v>
      </c>
      <c r="B11" s="18">
        <f>Forecast!B17+B10</f>
        <v>-2755782856.423433</v>
      </c>
    </row>
    <row r="12" spans="1:2" x14ac:dyDescent="0.25">
      <c r="A12" t="s">
        <v>71</v>
      </c>
      <c r="B12" s="18">
        <f>-Assumptions!B30</f>
        <v>2216000000</v>
      </c>
    </row>
    <row r="13" spans="1:2" x14ac:dyDescent="0.25">
      <c r="A13" t="s">
        <v>72</v>
      </c>
      <c r="B13" s="18">
        <f>B11+B12</f>
        <v>-539782856.4234328</v>
      </c>
    </row>
    <row r="14" spans="1:2" x14ac:dyDescent="0.25">
      <c r="A14" s="19" t="s">
        <v>73</v>
      </c>
      <c r="B14" s="24">
        <f>B13/Assumptions!B31</f>
        <v>-1.2276553186215455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565866782.324424</v>
      </c>
    </row>
    <row r="18" spans="1:2" x14ac:dyDescent="0.25">
      <c r="A18" t="s">
        <v>68</v>
      </c>
      <c r="B18" s="18">
        <f>B17*Assumptions!B13</f>
        <v>11317335646.48848</v>
      </c>
    </row>
    <row r="19" spans="1:2" x14ac:dyDescent="0.25">
      <c r="A19" t="s">
        <v>69</v>
      </c>
      <c r="B19" s="18">
        <f>B18/(1+Assumptions!B26)^(10-0.5*Assumptions!B32)</f>
        <v>4049105342.0597577</v>
      </c>
    </row>
    <row r="20" spans="1:2" x14ac:dyDescent="0.25">
      <c r="A20" t="s">
        <v>70</v>
      </c>
      <c r="B20" s="18">
        <f>Forecast!B17+B19</f>
        <v>1293322485.636325</v>
      </c>
    </row>
    <row r="21" spans="1:2" x14ac:dyDescent="0.25">
      <c r="A21" t="s">
        <v>71</v>
      </c>
      <c r="B21" s="18">
        <f>-Assumptions!B30</f>
        <v>2216000000</v>
      </c>
    </row>
    <row r="22" spans="1:2" x14ac:dyDescent="0.25">
      <c r="A22" t="s">
        <v>72</v>
      </c>
      <c r="B22" s="18">
        <f>B20+B21</f>
        <v>3509322485.636325</v>
      </c>
    </row>
    <row r="23" spans="1:2" x14ac:dyDescent="0.25">
      <c r="A23" s="19" t="s">
        <v>73</v>
      </c>
      <c r="B23" s="25">
        <f>B22/Assumptions!B31</f>
        <v>7.981428759697431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178.99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-1.2276553186215455</v>
      </c>
    </row>
    <row r="29" spans="1:2" x14ac:dyDescent="0.25">
      <c r="A29" s="19" t="s">
        <v>81</v>
      </c>
      <c r="B29" s="11">
        <f>B28/B26-1</f>
        <v>-1.0068587927740185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0.094264</v>
      </c>
      <c r="B5" s="31">
        <v>-1.5733254342434009</v>
      </c>
      <c r="C5" s="31">
        <v>-1.5733254342434009</v>
      </c>
      <c r="D5" s="31">
        <v>-1.5733254342434009</v>
      </c>
      <c r="E5" s="31">
        <v>-1.5733254342434009</v>
      </c>
      <c r="F5" s="31">
        <v>-1.5733254342434009</v>
      </c>
    </row>
    <row r="6" spans="1:6" x14ac:dyDescent="0.25">
      <c r="A6" s="30">
        <v>0.104264</v>
      </c>
      <c r="B6" s="31">
        <v>-1.3964490347838165</v>
      </c>
      <c r="C6" s="31">
        <v>-1.3964490347838165</v>
      </c>
      <c r="D6" s="31">
        <v>-1.3964490347838165</v>
      </c>
      <c r="E6" s="31">
        <v>-1.3964490347838165</v>
      </c>
      <c r="F6" s="31">
        <v>-1.3964490347838165</v>
      </c>
    </row>
    <row r="7" spans="1:6" x14ac:dyDescent="0.25">
      <c r="A7" s="30">
        <v>0.114264</v>
      </c>
      <c r="B7" s="31">
        <v>-1.2276471952273795</v>
      </c>
      <c r="C7" s="31">
        <v>-1.2276471952273795</v>
      </c>
      <c r="D7" s="32">
        <v>-1.2276471952273795</v>
      </c>
      <c r="E7" s="31">
        <v>-1.2276471952273795</v>
      </c>
      <c r="F7" s="31">
        <v>-1.2276471952273795</v>
      </c>
    </row>
    <row r="8" spans="1:6" x14ac:dyDescent="0.25">
      <c r="A8" s="30">
        <v>0.124264</v>
      </c>
      <c r="B8" s="31">
        <v>-1.0664526733050925</v>
      </c>
      <c r="C8" s="31">
        <v>-1.0664526733050925</v>
      </c>
      <c r="D8" s="31">
        <v>-1.0664526733050925</v>
      </c>
      <c r="E8" s="31">
        <v>-1.0664526733050925</v>
      </c>
      <c r="F8" s="31">
        <v>-1.0664526733050925</v>
      </c>
    </row>
    <row r="9" spans="1:6" x14ac:dyDescent="0.25">
      <c r="A9" s="30">
        <v>0.134264</v>
      </c>
      <c r="B9" s="31">
        <v>-0.912429711204537</v>
      </c>
      <c r="C9" s="31">
        <v>-0.912429711204537</v>
      </c>
      <c r="D9" s="31">
        <v>-0.912429711204537</v>
      </c>
      <c r="E9" s="31">
        <v>-0.912429711204537</v>
      </c>
      <c r="F9" s="31">
        <v>-0.912429711204537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13717000000</v>
      </c>
      <c r="C5" s="18">
        <v>10722000000</v>
      </c>
      <c r="D5" s="18">
        <v>8635000000</v>
      </c>
      <c r="E5" s="18">
        <v>6583000000</v>
      </c>
      <c r="F5" s="6" t="s">
        <v>91</v>
      </c>
    </row>
    <row r="6" spans="1:6" x14ac:dyDescent="0.25">
      <c r="A6" t="s">
        <v>51</v>
      </c>
      <c r="B6" s="18">
        <v>725000000</v>
      </c>
      <c r="C6" s="18">
        <v>-38000000</v>
      </c>
      <c r="D6" s="18">
        <v>-577000000</v>
      </c>
      <c r="E6" s="18">
        <v>-1032000000</v>
      </c>
      <c r="F6" s="6" t="s">
        <v>92</v>
      </c>
    </row>
    <row r="7" spans="1:6" x14ac:dyDescent="0.25">
      <c r="A7" t="s">
        <v>93</v>
      </c>
      <c r="B7" s="18">
        <v>747000000</v>
      </c>
      <c r="C7" s="18">
        <v>561000000</v>
      </c>
      <c r="D7" s="18">
        <v>509000000</v>
      </c>
      <c r="E7" s="18">
        <v>369000000</v>
      </c>
      <c r="F7" s="6" t="s">
        <v>94</v>
      </c>
    </row>
    <row r="8" spans="1:6" x14ac:dyDescent="0.25">
      <c r="A8" t="s">
        <v>95</v>
      </c>
      <c r="B8" s="18">
        <v>605000000</v>
      </c>
      <c r="C8" s="18">
        <v>330000000</v>
      </c>
      <c r="D8" s="18">
        <v>324000000</v>
      </c>
      <c r="E8" s="18">
        <v>346000000</v>
      </c>
      <c r="F8" s="6" t="s">
        <v>96</v>
      </c>
    </row>
    <row r="9" spans="1:6" x14ac:dyDescent="0.25">
      <c r="A9" t="s">
        <v>97</v>
      </c>
      <c r="B9" s="18">
        <v>400000000</v>
      </c>
      <c r="C9" s="18">
        <v>-252000000</v>
      </c>
      <c r="D9" s="18">
        <v>-530000000</v>
      </c>
      <c r="E9" s="18">
        <v>-148000000</v>
      </c>
      <c r="F9" s="6" t="s">
        <v>98</v>
      </c>
    </row>
    <row r="10" spans="1:6" x14ac:dyDescent="0.25">
      <c r="A10" t="s">
        <v>99</v>
      </c>
      <c r="B10" s="18">
        <v>3290000000</v>
      </c>
      <c r="C10" s="18">
        <v>536000000</v>
      </c>
      <c r="D10" s="18">
        <v>522000000</v>
      </c>
      <c r="E10" s="18">
        <v>511000000</v>
      </c>
      <c r="F10" s="6" t="s">
        <v>100</v>
      </c>
    </row>
    <row r="11" spans="1:6" x14ac:dyDescent="0.25">
      <c r="A11" t="s">
        <v>101</v>
      </c>
      <c r="B11" s="18">
        <v>5506000000</v>
      </c>
      <c r="C11" s="18">
        <v>5341000000</v>
      </c>
      <c r="D11" s="18">
        <v>4078000000</v>
      </c>
      <c r="E11" s="18">
        <v>3521000000</v>
      </c>
      <c r="F11" s="6" t="s">
        <v>102</v>
      </c>
    </row>
    <row r="12" spans="1:6" x14ac:dyDescent="0.25">
      <c r="A12" t="s">
        <v>34</v>
      </c>
      <c r="B12" s="34">
        <v>439686000</v>
      </c>
      <c r="C12" s="34">
        <v>411551000</v>
      </c>
      <c r="D12" s="34">
        <v>392948000</v>
      </c>
      <c r="E12" s="34">
        <v>371413000</v>
      </c>
      <c r="F12" s="6" t="s">
        <v>103</v>
      </c>
    </row>
    <row r="15" spans="1:1" x14ac:dyDescent="0.25">
      <c r="A15" s="19" t="s">
        <v>104</v>
      </c>
    </row>
    <row r="16" ht="22" customHeight="1" spans="1:6" x14ac:dyDescent="0.25">
      <c r="A16" s="35" t="s">
        <v>105</v>
      </c>
      <c r="B16" s="35"/>
      <c r="C16" s="35"/>
      <c r="D16" s="35"/>
      <c r="E16" s="35"/>
      <c r="F16" s="35"/>
    </row>
    <row r="17" ht="38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