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<sst xmlns="http://schemas.openxmlformats.org/spreadsheetml/2006/main" count="115" uniqueCount="103">
  <si>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Deutsche Börse AG (DB1.DE)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</si>
  <si>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</si>
  <si>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</si>
  <si>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</si>
  <si>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</si>
  <si>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</si>
  <si>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</si>
  <si>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</si>
  <si>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</si>
  <si>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</si>
  <si>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</si>
  <si>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</si>
  <si>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</si>
  <si>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</si>
  <si>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</si>
  <si>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</si>
  <si>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</si>
  <si>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</si>
  <si>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</si>
  <si>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</si>
  <si>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</si>
  <si>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</si>
  <si>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</si>
  <si>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</si>
  <si>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</si>
  <si>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</si>
  <si>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</si>
  <si>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</si>
  <si>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</si>
  <si>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</si>
  <si>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</si>
  <si>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</si>
  <si>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</si>
  <si>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</si>
  <si>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</si>
  <si>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</si>
  <si>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</si>
  <si>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</si>
  <si>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</si>
  <si>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</si>
  <si>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</si>
  <si>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</si>
  <si>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</si>
  <si>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</si>
  <si>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</si>
  <si>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</si>
  <si>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</si>
  <si>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</si>
  <si>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</si>
  <si>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</si>
  <si>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</si>
  <si>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</si>
  <si>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</si>
  <si>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</si>
  <si>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</si>
  <si>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</si>
  <si>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</si>
  <si>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</si>
  <si>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</si>
  <si>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</si>
  <si>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</si>
  <si>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</si>
  <si>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</si>
  <si>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</si>
  <si>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</si>
  <si>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</si>
  <si>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</si>
  <si>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</si>
  <si>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</si>
  <si>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</si>
  <si>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</si>
  <si>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</si>
  <si>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</si>
  <si>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</si>
  <si>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</si>
  <si>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</si>
  <si>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</si>
  <si>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</si>
  <si>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</si>
  <si>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</si>
  <si>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</si>
  <si>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</si>
  <si>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</si>
  <si>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</si>
  <si>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</si>
  <si>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</si>
  <si>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</si>
  <si>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</si>
  <si>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</si>
  <si>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</si>
  <si>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</si>
  <si>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</si>
  <si>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</si>
  <si>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</si>
  <si>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</si>
  <si>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</si>
  <si>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</si>
  <si>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</si>
  <si>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</si>
  <si>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</si>
  <si>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EUR assumption - no free live source available for this market.</t>
  </si>
  <si>
    <t>No usable EV/EBITDA (EBITDA is not positive), so the exit multiple falls back to 8x.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</si>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</sst>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0.1220218780972222</v>
      </c>
    </row>
    <row r="7" spans="1:2" x14ac:dyDescent="0.25">
      <c r="A7" t="s">
        <v>5</v>
      </c>
      <c r="B7" s="6">
        <v>0.40977183317106425</v>
      </c>
    </row>
    <row r="8" spans="1:2" x14ac:dyDescent="0.25">
      <c r="A8" t="s">
        <v>6</v>
      </c>
      <c r="B8" s="6">
        <v>0.26073957626198424</v>
      </c>
    </row>
    <row r="9" spans="1:2" x14ac:dyDescent="0.25">
      <c r="A9" t="s">
        <v>7</v>
      </c>
      <c r="B9" s="6">
        <v>0.0688015069922687</v>
      </c>
    </row>
    <row r="10" spans="1:2" x14ac:dyDescent="0.25">
      <c r="A10" t="s">
        <v>8</v>
      </c>
      <c r="B10" s="6">
        <v>0.05226696598706883</v>
      </c>
    </row>
    <row r="11" spans="1:2" x14ac:dyDescent="0.25">
      <c r="A11" t="s">
        <v>9</v>
      </c>
      <c r="B11" s="6">
        <v>0.19273743016759776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0.11143478647232202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0.026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0.53904</v>
      </c>
      <c r="C19" s="8" t="s">
        <v>19</v>
      </c>
    </row>
    <row r="20" spans="1:2" x14ac:dyDescent="0.25">
      <c r="A20" t="s">
        <v>20</v>
      </c>
      <c r="B20" s="10">
        <f>B17+B19*B18</f>
        <v>0.05834239999999999</v>
      </c>
    </row>
    <row r="21" spans="1:3" x14ac:dyDescent="0.25">
      <c r="A21" t="s">
        <v>21</v>
      </c>
      <c r="B21" s="6">
        <v>0.026</v>
      </c>
      <c r="C21" s="8" t="s">
        <v>22</v>
      </c>
    </row>
    <row r="22" spans="1:2" x14ac:dyDescent="0.25">
      <c r="A22" t="s">
        <v>23</v>
      </c>
      <c r="B22" s="11">
        <v>50119970816</v>
      </c>
    </row>
    <row r="23" spans="1:2" x14ac:dyDescent="0.25">
      <c r="A23" t="s">
        <v>24</v>
      </c>
      <c r="B23" s="11">
        <v>8136000000</v>
      </c>
    </row>
    <row r="24" spans="1:2" x14ac:dyDescent="0.25">
      <c r="A24" t="s">
        <v>25</v>
      </c>
      <c r="B24" s="10">
        <f>B22/(B22+B23)</f>
        <v>0.860340495814629</v>
      </c>
    </row>
    <row r="25" spans="1:2" x14ac:dyDescent="0.25">
      <c r="A25" t="s">
        <v>26</v>
      </c>
      <c r="B25" s="10">
        <f>1-B24</f>
        <v>0.139659504185371</v>
      </c>
    </row>
    <row r="26" spans="1:2" x14ac:dyDescent="0.25">
      <c r="A26" t="s">
        <v>27</v>
      </c>
      <c r="B26" s="12">
        <f>B24*B20+B25*B21*(1-B8)</f>
        <v>0.05287869269333648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7381000000</v>
      </c>
      <c r="C29" s="8" t="s">
        <v>30</v>
      </c>
    </row>
    <row r="30" spans="1:2" x14ac:dyDescent="0.25">
      <c r="A30" t="s">
        <v>31</v>
      </c>
      <c r="B30" s="11">
        <v>-197006000000</v>
      </c>
    </row>
    <row r="31" spans="1:2" x14ac:dyDescent="0.25">
      <c r="A31" t="s">
        <v>32</v>
      </c>
      <c r="B31" s="13">
        <v>183100000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0.1220218780972222</v>
      </c>
      <c r="C5" s="10">
        <f>Assumptions!B6</f>
        <v>0.1220218780972222</v>
      </c>
      <c r="D5" s="10">
        <f>Assumptions!B6</f>
        <v>0.1220218780972222</v>
      </c>
      <c r="E5" s="10">
        <f>Assumptions!B6</f>
        <v>0.1220218780972222</v>
      </c>
      <c r="F5" s="10">
        <f>Assumptions!B6</f>
        <v>0.1220218780972222</v>
      </c>
    </row>
    <row r="6" spans="1:6" x14ac:dyDescent="0.25">
      <c r="A6" t="s">
        <v>43</v>
      </c>
      <c r="B6" s="18">
        <f>Assumptions!B29*(1+B5)</f>
        <v>8281643482.235597</v>
      </c>
      <c r="C6" s="18">
        <f>B6*(1+C5)</f>
        <v>9292185173.669603</v>
      </c>
      <c r="D6" s="18">
        <f>C6*(1+D5)</f>
        <v>10426035060.187931</v>
      </c>
      <c r="E6" s="18">
        <f>D6*(1+E5)</f>
        <v>11698239439.339548</v>
      </c>
      <c r="F6" s="18">
        <f>E6*(1+F5)</f>
        <v>13125680586.158756</v>
      </c>
    </row>
    <row r="7" spans="1:6" x14ac:dyDescent="0.25">
      <c r="A7" t="s">
        <v>5</v>
      </c>
      <c r="B7" s="10">
        <f>Assumptions!B7</f>
        <v>0.40977183317106425</v>
      </c>
      <c r="C7" s="10">
        <f>Assumptions!B7</f>
        <v>0.40977183317106425</v>
      </c>
      <c r="D7" s="10">
        <f>Assumptions!B7</f>
        <v>0.40977183317106425</v>
      </c>
      <c r="E7" s="10">
        <f>Assumptions!B7</f>
        <v>0.40977183317106425</v>
      </c>
      <c r="F7" s="10">
        <f>Assumptions!B7</f>
        <v>0.40977183317106425</v>
      </c>
    </row>
    <row r="8" spans="1:6" x14ac:dyDescent="0.25">
      <c r="A8" t="s">
        <v>44</v>
      </c>
      <c r="B8" s="18">
        <f>B6*B7</f>
        <v>3393584231.3848767</v>
      </c>
      <c r="C8" s="18">
        <f>C6*C7</f>
        <v>3807675752.7795773</v>
      </c>
      <c r="D8" s="18">
        <f>D6*D7</f>
        <v>4272295499.3189955</v>
      </c>
      <c r="E8" s="18">
        <f>E6*E7</f>
        <v>4793609019.932209</v>
      </c>
      <c r="F8" s="18">
        <f>F6*F7</f>
        <v>5378534195.408123</v>
      </c>
    </row>
    <row r="9" spans="1:6" x14ac:dyDescent="0.25">
      <c r="A9" t="s">
        <v>45</v>
      </c>
      <c r="B9" s="18">
        <f>B8*(1-Assumptions!B8)</f>
        <v>2508742516.8842325</v>
      </c>
      <c r="C9" s="18">
        <f>C8*(1-Assumptions!B8)</f>
        <v>2814863990.4567986</v>
      </c>
      <c r="D9" s="18">
        <f>D8*(1-Assumptions!B8)</f>
        <v>3158338981.1605783</v>
      </c>
      <c r="E9" s="18">
        <f>E8*(1-Assumptions!B8)</f>
        <v>3543725435.3094597</v>
      </c>
      <c r="F9" s="18">
        <f>F8*(1-Assumptions!B8)</f>
        <v>3976137468.386817</v>
      </c>
    </row>
    <row r="10" spans="1:6" x14ac:dyDescent="0.25">
      <c r="A10" t="s">
        <v>46</v>
      </c>
      <c r="B10" s="18">
        <f>B6*Assumptions!B9</f>
        <v>569789551.9505088</v>
      </c>
      <c r="C10" s="18">
        <f>C6*Assumptions!B9</f>
        <v>639316343.1996847</v>
      </c>
      <c r="D10" s="18">
        <f>D6*Assumptions!B9</f>
        <v>717326924.0951585</v>
      </c>
      <c r="E10" s="18">
        <f>E6*Assumptions!B9</f>
        <v>804856502.5829533</v>
      </c>
      <c r="F10" s="18">
        <f>F6*Assumptions!B9</f>
        <v>903066604.6268872</v>
      </c>
    </row>
    <row r="11" spans="1:6" x14ac:dyDescent="0.25">
      <c r="A11" t="s">
        <v>47</v>
      </c>
      <c r="B11" s="18">
        <f>-B6*Assumptions!B10</f>
        <v>-432856378.20303816</v>
      </c>
      <c r="C11" s="18">
        <f>-C6*Assumptions!B10</f>
        <v>-485674326.4177344</v>
      </c>
      <c r="D11" s="18">
        <f>-D6*Assumptions!B10</f>
        <v>-544937219.8708297</v>
      </c>
      <c r="E11" s="18">
        <f>-E6*Assumptions!B10</f>
        <v>-611431482.8845472</v>
      </c>
      <c r="F11" s="18">
        <f>-F6*Assumptions!B10</f>
        <v>-686039500.7538893</v>
      </c>
    </row>
    <row r="12" spans="1:6" x14ac:dyDescent="0.25">
      <c r="A12" t="s">
        <v>48</v>
      </c>
      <c r="B12" s="18">
        <f>-(B6-Assumptions!B29)*Assumptions!B11</f>
        <v>-173587710.26328537</v>
      </c>
      <c r="C12" s="18">
        <f>-(C6-B6)*Assumptions!B11</f>
        <v>-194769208.68420798</v>
      </c>
      <c r="D12" s="18">
        <f>-(D6-C6)*Assumptions!B11</f>
        <v>-218535313.32336482</v>
      </c>
      <c r="E12" s="18">
        <f>-(E6-D6)*Assumptions!B11</f>
        <v>-245201402.68564686</v>
      </c>
      <c r="F12" s="18">
        <f>-(F6-E6)*Assumptions!B11</f>
        <v>-275121338.35342276</v>
      </c>
    </row>
    <row r="13" spans="1:6" x14ac:dyDescent="0.25">
      <c r="A13" s="19" t="s">
        <v>49</v>
      </c>
      <c r="B13" s="20">
        <f>B9+B10+B11+B12</f>
        <v>2472087980.368418</v>
      </c>
      <c r="C13" s="20">
        <f>C9+C10+C11+C12</f>
        <v>2773736798.5545406</v>
      </c>
      <c r="D13" s="20">
        <f>D9+D10+D11+D12</f>
        <v>3112193372.0615425</v>
      </c>
      <c r="E13" s="20">
        <f>E9+E10+E11+E12</f>
        <v>3491949052.322219</v>
      </c>
      <c r="F13" s="20">
        <f>F9+F10+F11+F12</f>
        <v>3918043233.9063926</v>
      </c>
    </row>
    <row r="14" spans="1:6" x14ac:dyDescent="0.25">
      <c r="A14" t="s">
        <v>50</v>
      </c>
      <c r="B14" s="21">
        <f>1/(1+Assumptions!$B$26)^(1-0.5*Assumptions!$B$32)</f>
        <v>0.9745650476944855</v>
      </c>
      <c r="C14" s="21">
        <f>1/(1+Assumptions!$B$26)^(2-0.5*Assumptions!$B$32)</f>
        <v>0.9256194986731859</v>
      </c>
      <c r="D14" s="21">
        <f>1/(1+Assumptions!$B$26)^(3-0.5*Assumptions!$B$32)</f>
        <v>0.8791321403849358</v>
      </c>
      <c r="E14" s="21">
        <f>1/(1+Assumptions!$B$26)^(4-0.5*Assumptions!$B$32)</f>
        <v>0.8349795151956727</v>
      </c>
      <c r="F14" s="21">
        <f>1/(1+Assumptions!$B$26)^(5-0.5*Assumptions!$B$32)</f>
        <v>0.7930443658801161</v>
      </c>
    </row>
    <row r="15" spans="1:6" x14ac:dyDescent="0.25">
      <c r="A15" s="19" t="s">
        <v>51</v>
      </c>
      <c r="B15" s="20">
        <f>B13*B14</f>
        <v>2409210540.492712</v>
      </c>
      <c r="C15" s="20">
        <f>C13*C14</f>
        <v>2567424864.9294214</v>
      </c>
      <c r="D15" s="20">
        <f>D13*D14</f>
        <v>2736029220.472275</v>
      </c>
      <c r="E15" s="20">
        <f>E13*E14</f>
        <v>2915705926.795995</v>
      </c>
      <c r="F15" s="20">
        <f>F13*F14</f>
        <v>3107182111.9241743</v>
      </c>
    </row>
    <row r="17" spans="1:2" x14ac:dyDescent="0.25">
      <c r="A17" s="22" t="s">
        <v>52</v>
      </c>
      <c r="B17" s="23">
        <f>SUM(B15:F15)</f>
        <v>13735552664.614578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3918043233.9063926</v>
      </c>
    </row>
    <row r="5" spans="1:2" x14ac:dyDescent="0.25">
      <c r="A5" t="s">
        <v>56</v>
      </c>
      <c r="B5" s="18">
        <f>IF(Assumptions!$B$33=0,B4,B4-Forecast!F11-Forecast!F10-Forecast!F12)</f>
        <v>3976137468.386817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0.22434646120320298</v>
      </c>
    </row>
    <row r="7" spans="1:2" x14ac:dyDescent="0.25">
      <c r="A7" t="s">
        <v>58</v>
      </c>
      <c r="B7" s="18">
        <f>-MAX(Forecast!F9,0)*B6</f>
        <v>-892032370.2900448</v>
      </c>
    </row>
    <row r="8" spans="1:2" x14ac:dyDescent="0.25">
      <c r="A8" t="s">
        <v>59</v>
      </c>
      <c r="B8" s="18">
        <f>IF(OR(Assumptions!$B$33=0,Assumptions!B12&lt;=0),B5,MAX(B5+B7,0))</f>
        <v>3084105098.096772</v>
      </c>
    </row>
    <row r="9" spans="1:2" x14ac:dyDescent="0.25">
      <c r="A9" t="s">
        <v>60</v>
      </c>
      <c r="B9" s="18">
        <f>B8*(1+Assumptions!B12)/(Assumptions!B26-Assumptions!B12)</f>
        <v>113391533825.572</v>
      </c>
    </row>
    <row r="10" spans="1:2" x14ac:dyDescent="0.25">
      <c r="A10" t="s">
        <v>61</v>
      </c>
      <c r="B10" s="18">
        <f>B9/(1+Assumptions!B26)^(5-0.5*Assumptions!B32)</f>
        <v>89924517038.87448</v>
      </c>
    </row>
    <row r="11" spans="1:2" x14ac:dyDescent="0.25">
      <c r="A11" t="s">
        <v>62</v>
      </c>
      <c r="B11" s="18">
        <f>Forecast!B17+B10</f>
        <v>103660069703.48906</v>
      </c>
    </row>
    <row r="12" spans="1:2" x14ac:dyDescent="0.25">
      <c r="A12" t="s">
        <v>63</v>
      </c>
      <c r="B12" s="18">
        <f>-Assumptions!B30</f>
        <v>197006000000</v>
      </c>
    </row>
    <row r="13" spans="1:2" x14ac:dyDescent="0.25">
      <c r="A13" t="s">
        <v>64</v>
      </c>
      <c r="B13" s="18">
        <f>B11+B12</f>
        <v>300666069703.4891</v>
      </c>
    </row>
    <row r="14" spans="1:2" x14ac:dyDescent="0.25">
      <c r="A14" s="19" t="s">
        <v>65</v>
      </c>
      <c r="B14" s="24">
        <f>B13/Assumptions!B31</f>
        <v>1642.0866723292686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6281600800.03501</v>
      </c>
    </row>
    <row r="18" spans="1:2" x14ac:dyDescent="0.25">
      <c r="A18" t="s">
        <v>60</v>
      </c>
      <c r="B18" s="18">
        <f>B17*Assumptions!B13</f>
        <v>50252806400.28008</v>
      </c>
    </row>
    <row r="19" spans="1:2" x14ac:dyDescent="0.25">
      <c r="A19" t="s">
        <v>61</v>
      </c>
      <c r="B19" s="18">
        <f>B18/(1+Assumptions!B26)^(5-0.5*Assumptions!B32)</f>
        <v>39852704985.40636</v>
      </c>
    </row>
    <row r="20" spans="1:2" x14ac:dyDescent="0.25">
      <c r="A20" t="s">
        <v>62</v>
      </c>
      <c r="B20" s="18">
        <f>Forecast!B17+B19</f>
        <v>53588257650.020935</v>
      </c>
    </row>
    <row r="21" spans="1:2" x14ac:dyDescent="0.25">
      <c r="A21" t="s">
        <v>63</v>
      </c>
      <c r="B21" s="18">
        <f>-Assumptions!B30</f>
        <v>197006000000</v>
      </c>
    </row>
    <row r="22" spans="1:2" x14ac:dyDescent="0.25">
      <c r="A22" t="s">
        <v>64</v>
      </c>
      <c r="B22" s="18">
        <f>B20+B21</f>
        <v>250594257650.02094</v>
      </c>
    </row>
    <row r="23" spans="1:2" x14ac:dyDescent="0.25">
      <c r="A23" s="19" t="s">
        <v>65</v>
      </c>
      <c r="B23" s="25">
        <f>B22/Assumptions!B31</f>
        <v>1368.6196485528178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278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1642.0866723292686</v>
      </c>
    </row>
    <row r="29" spans="1:2" x14ac:dyDescent="0.25">
      <c r="A29" s="19" t="s">
        <v>73</v>
      </c>
      <c r="B29" s="12">
        <f>B28/B26-1</f>
        <v>4.906786591112477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0.032879</v>
      </c>
      <c r="B5" s="31">
        <v>2077.1991619008068</v>
      </c>
      <c r="C5" s="31">
        <v>2374.867575592977</v>
      </c>
      <c r="D5" s="31">
        <v>3049.266602031594</v>
      </c>
      <c r="E5" s="31">
        <v>6063.216384042881</v>
      </c>
      <c r="F5" s="31" t="s">
        <v>76</v>
      </c>
    </row>
    <row r="6" spans="1:6" x14ac:dyDescent="0.25">
      <c r="A6" s="30">
        <v>0.042879</v>
      </c>
      <c r="B6" s="31">
        <v>1719.274185675264</v>
      </c>
      <c r="C6" s="31">
        <v>1810.4943366759128</v>
      </c>
      <c r="D6" s="31">
        <v>1952.2841670949022</v>
      </c>
      <c r="E6" s="31">
        <v>2203.541509937521</v>
      </c>
      <c r="F6" s="31">
        <v>2772.670056833983</v>
      </c>
    </row>
    <row r="7" spans="1:6" x14ac:dyDescent="0.25">
      <c r="A7" s="30">
        <v>0.052879</v>
      </c>
      <c r="B7" s="31">
        <v>1550.3111926430304</v>
      </c>
      <c r="C7" s="31">
        <v>1589.3355734524278</v>
      </c>
      <c r="D7" s="32">
        <v>1642.0805561844813</v>
      </c>
      <c r="E7" s="31">
        <v>1717.5416838629178</v>
      </c>
      <c r="F7" s="31">
        <v>1834.7771909636995</v>
      </c>
    </row>
    <row r="8" spans="1:6" x14ac:dyDescent="0.25">
      <c r="A8" s="30">
        <v>0.062879</v>
      </c>
      <c r="B8" s="31">
        <v>1451.9125421286037</v>
      </c>
      <c r="C8" s="31">
        <v>1471.2688094184316</v>
      </c>
      <c r="D8" s="31">
        <v>1495.539602755809</v>
      </c>
      <c r="E8" s="31">
        <v>1526.9670186373833</v>
      </c>
      <c r="F8" s="31">
        <v>1569.4016018518107</v>
      </c>
    </row>
    <row r="9" spans="1:6" x14ac:dyDescent="0.25">
      <c r="A9" s="30">
        <v>0.072879</v>
      </c>
      <c r="B9" s="31">
        <v>1387.504680523521</v>
      </c>
      <c r="C9" s="31">
        <v>1397.8104300925077</v>
      </c>
      <c r="D9" s="31">
        <v>1410.1203512536288</v>
      </c>
      <c r="E9" s="31">
        <v>1425.1355465018592</v>
      </c>
      <c r="F9" s="31">
        <v>1443.9272983765118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7381000000</v>
      </c>
      <c r="C5" s="18">
        <v>7023000000</v>
      </c>
      <c r="D5" s="18">
        <v>6096100000</v>
      </c>
      <c r="E5" s="18">
        <v>5225300000</v>
      </c>
      <c r="F5" s="8" t="s">
        <v>85</v>
      </c>
    </row>
    <row r="6" spans="1:6" x14ac:dyDescent="0.25">
      <c r="A6" t="s">
        <v>44</v>
      </c>
      <c r="B6" s="18">
        <v>2978000000</v>
      </c>
      <c r="C6" s="18">
        <v>2852000000</v>
      </c>
      <c r="D6" s="18">
        <v>2537600000</v>
      </c>
      <c r="E6" s="18">
        <v>2159400000</v>
      </c>
      <c r="F6" s="8" t="s">
        <v>86</v>
      </c>
    </row>
    <row r="7" spans="1:6" x14ac:dyDescent="0.25">
      <c r="A7" t="s">
        <v>87</v>
      </c>
      <c r="B7" s="18">
        <v>501000000</v>
      </c>
      <c r="C7" s="18">
        <v>496000000</v>
      </c>
      <c r="D7" s="18">
        <v>418500000</v>
      </c>
      <c r="E7" s="18">
        <v>355600000</v>
      </c>
      <c r="F7" s="8" t="s">
        <v>88</v>
      </c>
    </row>
    <row r="8" spans="1:6" x14ac:dyDescent="0.25">
      <c r="A8" t="s">
        <v>89</v>
      </c>
      <c r="B8" s="18">
        <v>380000000</v>
      </c>
      <c r="C8" s="18">
        <v>361000000</v>
      </c>
      <c r="D8" s="18">
        <v>267900000</v>
      </c>
      <c r="E8" s="18">
        <v>325200000</v>
      </c>
      <c r="F8" s="8" t="s">
        <v>90</v>
      </c>
    </row>
    <row r="9" spans="1:6" x14ac:dyDescent="0.25">
      <c r="A9" t="s">
        <v>91</v>
      </c>
      <c r="B9" s="18">
        <v>69000000</v>
      </c>
      <c r="C9" s="18">
        <v>249000000</v>
      </c>
      <c r="D9" s="18">
        <v>-180400000</v>
      </c>
      <c r="E9" s="18">
        <v>-396100000</v>
      </c>
      <c r="F9" s="8" t="s">
        <v>92</v>
      </c>
    </row>
    <row r="10" spans="1:6" x14ac:dyDescent="0.25">
      <c r="A10" t="s">
        <v>93</v>
      </c>
      <c r="B10" s="18">
        <v>8136000000</v>
      </c>
      <c r="C10" s="18">
        <v>9583000000</v>
      </c>
      <c r="D10" s="18">
        <v>8724000000</v>
      </c>
      <c r="E10" s="18">
        <v>5357400000</v>
      </c>
      <c r="F10" s="8" t="s">
        <v>94</v>
      </c>
    </row>
    <row r="11" spans="1:6" x14ac:dyDescent="0.25">
      <c r="A11" t="s">
        <v>95</v>
      </c>
      <c r="B11" s="18">
        <v>205142000000</v>
      </c>
      <c r="C11" s="18">
        <v>130415000000</v>
      </c>
      <c r="D11" s="18">
        <v>140499000000</v>
      </c>
      <c r="E11" s="18">
        <v>132415700000</v>
      </c>
      <c r="F11" s="8" t="s">
        <v>96</v>
      </c>
    </row>
    <row r="12" spans="1:6" x14ac:dyDescent="0.25">
      <c r="A12" t="s">
        <v>32</v>
      </c>
      <c r="B12" s="34">
        <v>183100000</v>
      </c>
      <c r="C12" s="34">
        <v>184226044</v>
      </c>
      <c r="D12" s="34">
        <v>184589068</v>
      </c>
      <c r="E12" s="34">
        <v>183985520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20" spans="1:1" x14ac:dyDescent="0.25">
      <c r="A20" s="36" t="s">
        <v>102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2026-09-19T01:59:35Z</dcterms:modified>
</cp:coreProperties>
</file>