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<sst xmlns="http://schemas.openxmlformats.org/spreadsheetml/2006/main" count="114" uniqueCount="102">
  <si>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Dalrymple Bay Infrastructure Limited (DBI.AX)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</si>
  <si>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</si>
  <si>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</si>
  <si>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</si>
  <si>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</si>
  <si>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</si>
  <si>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</si>
  <si>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</si>
  <si>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</si>
  <si>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</si>
  <si>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</si>
  <si>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</si>
  <si>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</si>
  <si>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</si>
  <si>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</si>
  <si>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</si>
  <si>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</si>
  <si>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</si>
  <si>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</si>
  <si>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</si>
  <si>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</si>
  <si>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</si>
  <si>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</si>
  <si>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</si>
  <si>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</si>
  <si>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</si>
  <si>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</si>
  <si>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</si>
  <si>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</si>
  <si>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</si>
  <si>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</si>
  <si>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</si>
  <si>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</si>
  <si>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</si>
  <si>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</si>
  <si>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</si>
  <si>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</si>
  <si>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</si>
  <si>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</si>
  <si>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</si>
  <si>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</si>
  <si>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</si>
  <si>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</si>
  <si>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</si>
  <si>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</si>
  <si>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</si>
  <si>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</si>
  <si>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</si>
  <si>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</si>
  <si>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</si>
  <si>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</si>
  <si>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</si>
  <si>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</si>
  <si>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</si>
  <si>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</si>
  <si>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</si>
  <si>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</si>
  <si>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</si>
  <si>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</si>
  <si>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</si>
  <si>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</si>
  <si>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</si>
  <si>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</si>
  <si>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</si>
  <si>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</si>
  <si>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</si>
  <si>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</si>
  <si>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</si>
  <si>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</si>
  <si>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</si>
  <si>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</si>
  <si>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</si>
  <si>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</si>
  <si>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</si>
  <si>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</si>
  <si>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</si>
  <si>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</si>
  <si>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</si>
  <si>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</si>
  <si>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</si>
  <si>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</si>
  <si>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</si>
  <si>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</si>
  <si>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</si>
  <si>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</si>
  <si>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</si>
  <si>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</si>
  <si>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</si>
  <si>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</si>
  <si>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</si>
  <si>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</si>
  <si>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</si>
  <si>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</si>
  <si>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</si>
  <si>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</si>
  <si>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</si>
  <si>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</si>
  <si>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</si>
  <si>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</si>
  <si>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12.9% of revenue against depreciation of 6.4%. A perpetuity has to be a steady state, so the terminal year uses maintenance capex at depreciation and then charges the reinvestment terminal growth requires (g/ROIC of NOPAT). The bridge is shown under Terminal Value.</t>
  </si>
  <si>
    <t>Current EV/EBITDA of 44.9x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</si>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</sst>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0.04419711492877365</v>
      </c>
    </row>
    <row r="7" spans="1:2" x14ac:dyDescent="0.25">
      <c r="A7" t="s">
        <v>5</v>
      </c>
      <c r="B7" s="6">
        <v>0.23405246707965982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0.064178306035987</v>
      </c>
    </row>
    <row r="10" spans="1:2" x14ac:dyDescent="0.25">
      <c r="A10" t="s">
        <v>8</v>
      </c>
      <c r="B10" s="6">
        <v>0.1291403772966835</v>
      </c>
    </row>
    <row r="11" spans="1:2" x14ac:dyDescent="0.25">
      <c r="A11" t="s">
        <v>9</v>
      </c>
      <c r="B11" s="6">
        <v>-0.10752062105773896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0.07835319204545138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0.51693</v>
      </c>
      <c r="C19" s="8" t="s">
        <v>19</v>
      </c>
    </row>
    <row r="20" spans="1:2" x14ac:dyDescent="0.25">
      <c r="A20" t="s">
        <v>20</v>
      </c>
      <c r="B20" s="10">
        <f>B17+B19*B18</f>
        <v>0.0844958</v>
      </c>
    </row>
    <row r="21" spans="1:3" x14ac:dyDescent="0.25">
      <c r="A21" t="s">
        <v>21</v>
      </c>
      <c r="B21" s="6">
        <v>0.10102729347080112</v>
      </c>
      <c r="C21" s="8" t="s">
        <v>22</v>
      </c>
    </row>
    <row r="22" spans="1:2" x14ac:dyDescent="0.25">
      <c r="A22" t="s">
        <v>23</v>
      </c>
      <c r="B22" s="11">
        <v>2687028224</v>
      </c>
    </row>
    <row r="23" spans="1:2" x14ac:dyDescent="0.25">
      <c r="A23" t="s">
        <v>24</v>
      </c>
      <c r="B23" s="11">
        <v>2162061000</v>
      </c>
    </row>
    <row r="24" spans="1:2" x14ac:dyDescent="0.25">
      <c r="A24" t="s">
        <v>25</v>
      </c>
      <c r="B24" s="10">
        <f>B22/(B22+B23)</f>
        <v>0.55413049747587</v>
      </c>
    </row>
    <row r="25" spans="1:2" x14ac:dyDescent="0.25">
      <c r="A25" t="s">
        <v>26</v>
      </c>
      <c r="B25" s="10">
        <f>1-B24</f>
        <v>0.44586950252413005</v>
      </c>
    </row>
    <row r="26" spans="1:2" x14ac:dyDescent="0.25">
      <c r="A26" t="s">
        <v>27</v>
      </c>
      <c r="B26" s="12">
        <f>B24*B20+B25*B21*(1-B8)</f>
        <v>0.07835319204545138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659358000</v>
      </c>
      <c r="C29" s="8" t="s">
        <v>30</v>
      </c>
    </row>
    <row r="30" spans="1:2" x14ac:dyDescent="0.25">
      <c r="A30" t="s">
        <v>31</v>
      </c>
      <c r="B30" s="11">
        <v>2051607000</v>
      </c>
    </row>
    <row r="31" spans="1:2" x14ac:dyDescent="0.25">
      <c r="A31" t="s">
        <v>32</v>
      </c>
      <c r="B31" s="13">
        <v>495761667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0.04419711492877365</v>
      </c>
      <c r="C5" s="10">
        <f>Assumptions!B6</f>
        <v>0.04419711492877365</v>
      </c>
      <c r="D5" s="10">
        <f>Assumptions!B6</f>
        <v>0.04419711492877365</v>
      </c>
      <c r="E5" s="10">
        <f>Assumptions!B6</f>
        <v>0.04419711492877365</v>
      </c>
      <c r="F5" s="10">
        <f>Assumptions!B6</f>
        <v>0.04419711492877365</v>
      </c>
    </row>
    <row r="6" spans="1:6" x14ac:dyDescent="0.25">
      <c r="A6" t="s">
        <v>43</v>
      </c>
      <c r="B6" s="18">
        <f>Assumptions!B29*(1+B5)</f>
        <v>688499721.3052063</v>
      </c>
      <c r="C6" s="18">
        <f>B6*(1+C5)</f>
        <v>718929422.6161611</v>
      </c>
      <c r="D6" s="18">
        <f>C6*(1+D5)</f>
        <v>750704028.9332044</v>
      </c>
      <c r="E6" s="18">
        <f>D6*(1+E5)</f>
        <v>783882981.1774586</v>
      </c>
      <c r="F6" s="18">
        <f>E6*(1+F5)</f>
        <v>818528347.3872685</v>
      </c>
    </row>
    <row r="7" spans="1:6" x14ac:dyDescent="0.25">
      <c r="A7" t="s">
        <v>5</v>
      </c>
      <c r="B7" s="10">
        <f>Assumptions!B7</f>
        <v>0.23405246707965982</v>
      </c>
      <c r="C7" s="10">
        <f>Assumptions!B7</f>
        <v>0.23405246707965982</v>
      </c>
      <c r="D7" s="10">
        <f>Assumptions!B7</f>
        <v>0.23405246707965982</v>
      </c>
      <c r="E7" s="10">
        <f>Assumptions!B7</f>
        <v>0.23405246707965982</v>
      </c>
      <c r="F7" s="10">
        <f>Assumptions!B7</f>
        <v>0.23405246707965982</v>
      </c>
    </row>
    <row r="8" spans="1:6" x14ac:dyDescent="0.25">
      <c r="A8" t="s">
        <v>44</v>
      </c>
      <c r="B8" s="18">
        <f>B6*B7</f>
        <v>161145058.35514176</v>
      </c>
      <c r="C8" s="18">
        <f>C6*C7</f>
        <v>168267205.0194679</v>
      </c>
      <c r="D8" s="18">
        <f>D6*D7</f>
        <v>175704130.01845682</v>
      </c>
      <c r="E8" s="18">
        <f>E6*E7</f>
        <v>183469745.64634272</v>
      </c>
      <c r="F8" s="18">
        <f>F6*F7</f>
        <v>191578579.08062702</v>
      </c>
    </row>
    <row r="9" spans="1:6" x14ac:dyDescent="0.25">
      <c r="A9" t="s">
        <v>45</v>
      </c>
      <c r="B9" s="18">
        <f>B8*(1-Assumptions!B8)</f>
        <v>112801540.84859923</v>
      </c>
      <c r="C9" s="18">
        <f>C8*(1-Assumptions!B8)</f>
        <v>117787043.51362751</v>
      </c>
      <c r="D9" s="18">
        <f>D8*(1-Assumptions!B8)</f>
        <v>122992891.01291977</v>
      </c>
      <c r="E9" s="18">
        <f>E8*(1-Assumptions!B8)</f>
        <v>128428821.9524399</v>
      </c>
      <c r="F9" s="18">
        <f>F8*(1-Assumptions!B8)</f>
        <v>134105005.3564389</v>
      </c>
    </row>
    <row r="10" spans="1:6" x14ac:dyDescent="0.25">
      <c r="A10" t="s">
        <v>46</v>
      </c>
      <c r="B10" s="18">
        <f>B6*Assumptions!B9</f>
        <v>44186745.81961729</v>
      </c>
      <c r="C10" s="18">
        <f>C6*Assumptions!B9</f>
        <v>46139672.50293542</v>
      </c>
      <c r="D10" s="18">
        <f>D6*Assumptions!B9</f>
        <v>48178912.91132363</v>
      </c>
      <c r="E10" s="18">
        <f>E6*Assumptions!B9</f>
        <v>50308281.86240877</v>
      </c>
      <c r="F10" s="18">
        <f>F6*Assumptions!B9</f>
        <v>52531762.7777508</v>
      </c>
    </row>
    <row r="11" spans="1:6" x14ac:dyDescent="0.25">
      <c r="A11" t="s">
        <v>47</v>
      </c>
      <c r="B11" s="18">
        <f>-B6*Assumptions!B10</f>
        <v>-88913113.77801579</v>
      </c>
      <c r="C11" s="18">
        <f>-C6*Assumptions!B10</f>
        <v>-92842816.88633788</v>
      </c>
      <c r="D11" s="18">
        <f>-D6*Assumptions!B10</f>
        <v>-96946201.53457443</v>
      </c>
      <c r="E11" s="18">
        <f>-E6*Assumptions!B10</f>
        <v>-101230943.94570607</v>
      </c>
      <c r="F11" s="18">
        <f>-F6*Assumptions!B10</f>
        <v>-105705059.60962269</v>
      </c>
    </row>
    <row r="12" spans="1:6" x14ac:dyDescent="0.25">
      <c r="A12" t="s">
        <v>48</v>
      </c>
      <c r="B12" s="18">
        <f>-(B6-Assumptions!B29)*Assumptions!B11</f>
        <v>3133335.9734273246</v>
      </c>
      <c r="C12" s="18">
        <f>-(C6-B6)*Assumptions!B11</f>
        <v>3271820.3835553546</v>
      </c>
      <c r="D12" s="18">
        <f>-(D6-C6)*Assumptions!B11</f>
        <v>3416425.4050736516</v>
      </c>
      <c r="E12" s="18">
        <f>-(E6-D6)*Assumptions!B11</f>
        <v>3567421.551347277</v>
      </c>
      <c r="F12" s="18">
        <f>-(F6-E6)*Assumptions!B11</f>
        <v>3725091.291651564</v>
      </c>
    </row>
    <row r="13" spans="1:6" x14ac:dyDescent="0.25">
      <c r="A13" s="19" t="s">
        <v>49</v>
      </c>
      <c r="B13" s="20">
        <f>B9+B10+B11+B12</f>
        <v>71208508.86362806</v>
      </c>
      <c r="C13" s="20">
        <f>C9+C10+C11+C12</f>
        <v>74355719.51378042</v>
      </c>
      <c r="D13" s="20">
        <f>D9+D10+D11+D12</f>
        <v>77642027.79474261</v>
      </c>
      <c r="E13" s="20">
        <f>E9+E10+E11+E12</f>
        <v>81073581.42048986</v>
      </c>
      <c r="F13" s="20">
        <f>F9+F10+F11+F12</f>
        <v>84656799.81621857</v>
      </c>
    </row>
    <row r="14" spans="1:6" x14ac:dyDescent="0.25">
      <c r="A14" t="s">
        <v>50</v>
      </c>
      <c r="B14" s="21">
        <f>1/(1+Assumptions!$B$26)^(1-0.5*Assumptions!$B$32)</f>
        <v>0.962984919122314</v>
      </c>
      <c r="C14" s="21">
        <f>1/(1+Assumptions!$B$26)^(2-0.5*Assumptions!$B$32)</f>
        <v>0.8930143910416739</v>
      </c>
      <c r="D14" s="21">
        <f>1/(1+Assumptions!$B$26)^(3-0.5*Assumptions!$B$32)</f>
        <v>0.8281279247180402</v>
      </c>
      <c r="E14" s="21">
        <f>1/(1+Assumptions!$B$26)^(4-0.5*Assumptions!$B$32)</f>
        <v>0.7679561119926053</v>
      </c>
      <c r="F14" s="21">
        <f>1/(1+Assumptions!$B$26)^(5-0.5*Assumptions!$B$32)</f>
        <v>0.7121563859202049</v>
      </c>
    </row>
    <row r="15" spans="1:6" x14ac:dyDescent="0.25">
      <c r="A15" s="19" t="s">
        <v>51</v>
      </c>
      <c r="B15" s="20">
        <f>B13*B14</f>
        <v>68572720.14886145</v>
      </c>
      <c r="C15" s="20">
        <f>C13*C14</f>
        <v>66400727.58206413</v>
      </c>
      <c r="D15" s="20">
        <f>D13*D14</f>
        <v>64297531.348560594</v>
      </c>
      <c r="E15" s="20">
        <f>E13*E14</f>
        <v>62260952.37299532</v>
      </c>
      <c r="F15" s="20">
        <f>F13*F14</f>
        <v>60288880.60068849</v>
      </c>
    </row>
    <row r="17" spans="1:2" x14ac:dyDescent="0.25">
      <c r="A17" s="22" t="s">
        <v>52</v>
      </c>
      <c r="B17" s="23">
        <f>SUM(B15:F15)</f>
        <v>321820812.05316997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84656799.81621857</v>
      </c>
    </row>
    <row r="5" spans="1:2" x14ac:dyDescent="0.25">
      <c r="A5" t="s">
        <v>56</v>
      </c>
      <c r="B5" s="18">
        <f>IF(Assumptions!$B$33=0,B4,B4-Forecast!F11-Forecast!F10-Forecast!F12)</f>
        <v>134105005.3564389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0.3190680474829656</v>
      </c>
    </row>
    <row r="7" spans="1:2" x14ac:dyDescent="0.25">
      <c r="A7" t="s">
        <v>58</v>
      </c>
      <c r="B7" s="18">
        <f>-MAX(Forecast!F9,0)*B6</f>
        <v>-42788622.2167716</v>
      </c>
    </row>
    <row r="8" spans="1:2" x14ac:dyDescent="0.25">
      <c r="A8" t="s">
        <v>59</v>
      </c>
      <c r="B8" s="18">
        <f>IF(OR(Assumptions!$B$33=0,Assumptions!B12&lt;=0),B5,MAX(B5+B7,0))</f>
        <v>91316383.1396673</v>
      </c>
    </row>
    <row r="9" spans="1:2" x14ac:dyDescent="0.25">
      <c r="A9" t="s">
        <v>60</v>
      </c>
      <c r="B9" s="18">
        <f>B8*(1+Assumptions!B12)/(Assumptions!B26-Assumptions!B12)</f>
        <v>1754333510.8876352</v>
      </c>
    </row>
    <row r="10" spans="1:2" x14ac:dyDescent="0.25">
      <c r="A10" t="s">
        <v>61</v>
      </c>
      <c r="B10" s="18">
        <f>B9/(1+Assumptions!B26)^(5-0.5*Assumptions!B32)</f>
        <v>1249359812.8124428</v>
      </c>
    </row>
    <row r="11" spans="1:2" x14ac:dyDescent="0.25">
      <c r="A11" t="s">
        <v>62</v>
      </c>
      <c r="B11" s="18">
        <f>Forecast!B17+B10</f>
        <v>1571180624.8656127</v>
      </c>
    </row>
    <row r="12" spans="1:2" x14ac:dyDescent="0.25">
      <c r="A12" t="s">
        <v>63</v>
      </c>
      <c r="B12" s="18">
        <f>-Assumptions!B30</f>
        <v>-2051607000</v>
      </c>
    </row>
    <row r="13" spans="1:2" x14ac:dyDescent="0.25">
      <c r="A13" t="s">
        <v>64</v>
      </c>
      <c r="B13" s="18">
        <f>B11+B12</f>
        <v>-480426375.13438725</v>
      </c>
    </row>
    <row r="14" spans="1:2" x14ac:dyDescent="0.25">
      <c r="A14" s="19" t="s">
        <v>65</v>
      </c>
      <c r="B14" s="24">
        <f>B13/Assumptions!B31</f>
        <v>-0.9690672093338496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244110341.8583778</v>
      </c>
    </row>
    <row r="18" spans="1:2" x14ac:dyDescent="0.25">
      <c r="A18" t="s">
        <v>60</v>
      </c>
      <c r="B18" s="18">
        <f>B17*Assumptions!B13</f>
        <v>4882206837.167557</v>
      </c>
    </row>
    <row r="19" spans="1:2" x14ac:dyDescent="0.25">
      <c r="A19" t="s">
        <v>61</v>
      </c>
      <c r="B19" s="18">
        <f>B18/(1+Assumptions!B26)^(5-0.5*Assumptions!B32)</f>
        <v>3476894776.472162</v>
      </c>
    </row>
    <row r="20" spans="1:2" x14ac:dyDescent="0.25">
      <c r="A20" t="s">
        <v>62</v>
      </c>
      <c r="B20" s="18">
        <f>Forecast!B17+B19</f>
        <v>3798715588.5253315</v>
      </c>
    </row>
    <row r="21" spans="1:2" x14ac:dyDescent="0.25">
      <c r="A21" t="s">
        <v>63</v>
      </c>
      <c r="B21" s="18">
        <f>-Assumptions!B30</f>
        <v>-2051607000</v>
      </c>
    </row>
    <row r="22" spans="1:2" x14ac:dyDescent="0.25">
      <c r="A22" t="s">
        <v>64</v>
      </c>
      <c r="B22" s="18">
        <f>B20+B21</f>
        <v>1747108588.5253315</v>
      </c>
    </row>
    <row r="23" spans="1:2" x14ac:dyDescent="0.25">
      <c r="A23" s="19" t="s">
        <v>65</v>
      </c>
      <c r="B23" s="25">
        <f>B22/Assumptions!B31</f>
        <v>3.524089708463344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-0.9690672093338496</v>
      </c>
    </row>
    <row r="29" spans="1:2" x14ac:dyDescent="0.25">
      <c r="A29" s="19" t="s">
        <v>73</v>
      </c>
      <c r="B29" s="12">
        <f>B28/B26-1</f>
        <v>-1.178794688068976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0.058353</v>
      </c>
      <c r="B5" s="31">
        <v>0.18670926758474882</v>
      </c>
      <c r="C5" s="31">
        <v>0.2046665828267661</v>
      </c>
      <c r="D5" s="31">
        <v>0.22262389806878247</v>
      </c>
      <c r="E5" s="31">
        <v>0.24058121331080073</v>
      </c>
      <c r="F5" s="31">
        <v>0.25853852855281706</v>
      </c>
    </row>
    <row r="6" spans="1:6" x14ac:dyDescent="0.25">
      <c r="A6" s="30">
        <v>0.068353</v>
      </c>
      <c r="B6" s="31">
        <v>-0.49111796919932904</v>
      </c>
      <c r="C6" s="31">
        <v>-0.47642302349191146</v>
      </c>
      <c r="D6" s="31">
        <v>-0.46172807778449393</v>
      </c>
      <c r="E6" s="31">
        <v>-0.44703313207707684</v>
      </c>
      <c r="F6" s="31">
        <v>-0.43233818636965976</v>
      </c>
    </row>
    <row r="7" spans="1:6" x14ac:dyDescent="0.25">
      <c r="A7" s="30">
        <v>0.078353</v>
      </c>
      <c r="B7" s="31">
        <v>-0.9936449724210664</v>
      </c>
      <c r="C7" s="31">
        <v>-0.9813518518779452</v>
      </c>
      <c r="D7" s="32">
        <v>-0.9690587313348253</v>
      </c>
      <c r="E7" s="31">
        <v>-0.9567656107917046</v>
      </c>
      <c r="F7" s="31">
        <v>-0.9444724902485838</v>
      </c>
    </row>
    <row r="8" spans="1:6" x14ac:dyDescent="0.25">
      <c r="A8" s="30">
        <v>0.088353</v>
      </c>
      <c r="B8" s="31">
        <v>-1.3805125176635957</v>
      </c>
      <c r="C8" s="31">
        <v>-1.3700543224522357</v>
      </c>
      <c r="D8" s="31">
        <v>-1.3595961272408768</v>
      </c>
      <c r="E8" s="31">
        <v>-1.3491379320295163</v>
      </c>
      <c r="F8" s="31">
        <v>-1.3386797368181562</v>
      </c>
    </row>
    <row r="9" spans="1:6" x14ac:dyDescent="0.25">
      <c r="A9" s="30">
        <v>0.098353</v>
      </c>
      <c r="B9" s="31">
        <v>-1.6870985156132363</v>
      </c>
      <c r="C9" s="31">
        <v>-1.6780824782122117</v>
      </c>
      <c r="D9" s="31">
        <v>-1.669066440811188</v>
      </c>
      <c r="E9" s="31">
        <v>-1.6600504034101637</v>
      </c>
      <c r="F9" s="31">
        <v>-1.6510343660091396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659358000</v>
      </c>
      <c r="C5" s="18">
        <v>679015000</v>
      </c>
      <c r="D5" s="18">
        <v>599737000</v>
      </c>
      <c r="E5" s="18">
        <v>579127000</v>
      </c>
      <c r="F5" s="8" t="s">
        <v>84</v>
      </c>
    </row>
    <row r="6" spans="1:6" x14ac:dyDescent="0.25">
      <c r="A6" t="s">
        <v>44</v>
      </c>
      <c r="B6" s="18">
        <v>64737000</v>
      </c>
      <c r="C6" s="18">
        <v>151231000</v>
      </c>
      <c r="D6" s="18">
        <v>178879000</v>
      </c>
      <c r="E6" s="18">
        <v>183609000</v>
      </c>
      <c r="F6" s="8" t="s">
        <v>85</v>
      </c>
    </row>
    <row r="7" spans="1:6" x14ac:dyDescent="0.25">
      <c r="A7" t="s">
        <v>86</v>
      </c>
      <c r="B7" s="18">
        <v>40825000</v>
      </c>
      <c r="C7" s="18">
        <v>40528000</v>
      </c>
      <c r="D7" s="18">
        <v>40037000</v>
      </c>
      <c r="E7" s="18">
        <v>39585000</v>
      </c>
      <c r="F7" s="8" t="s">
        <v>87</v>
      </c>
    </row>
    <row r="8" spans="1:6" x14ac:dyDescent="0.25">
      <c r="A8" t="s">
        <v>88</v>
      </c>
      <c r="B8" s="18">
        <v>164918000</v>
      </c>
      <c r="C8" s="18">
        <v>82312000</v>
      </c>
      <c r="D8" s="18">
        <v>39118000</v>
      </c>
      <c r="E8" s="18">
        <v>46327000</v>
      </c>
      <c r="F8" s="8" t="s">
        <v>89</v>
      </c>
    </row>
    <row r="9" spans="1:6" x14ac:dyDescent="0.25">
      <c r="A9" t="s">
        <v>90</v>
      </c>
      <c r="B9" s="18">
        <v>-2745000</v>
      </c>
      <c r="C9" s="18">
        <v>-10191000</v>
      </c>
      <c r="D9" s="18">
        <v>-2216000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2162061000</v>
      </c>
      <c r="C10" s="18">
        <v>1929467000</v>
      </c>
      <c r="D10" s="18">
        <v>2520815000</v>
      </c>
      <c r="E10" s="18">
        <v>3673457000</v>
      </c>
      <c r="F10" s="8" t="s">
        <v>93</v>
      </c>
    </row>
    <row r="11" spans="1:6" x14ac:dyDescent="0.25">
      <c r="A11" t="s">
        <v>94</v>
      </c>
      <c r="B11" s="18">
        <v>110454000</v>
      </c>
      <c r="C11" s="18">
        <v>89890000</v>
      </c>
      <c r="D11" s="18">
        <v>71142000</v>
      </c>
      <c r="E11" s="18">
        <v>216684000</v>
      </c>
      <c r="F11" s="8" t="s">
        <v>95</v>
      </c>
    </row>
    <row r="12" spans="1:6" x14ac:dyDescent="0.25">
      <c r="A12" t="s">
        <v>32</v>
      </c>
      <c r="B12" s="34">
        <v>495761667</v>
      </c>
      <c r="C12" s="34">
        <v>495761667</v>
      </c>
      <c r="D12" s="34">
        <v>495761667</v>
      </c>
      <c r="E12" s="34">
        <v>495761667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