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<sst xmlns="http://schemas.openxmlformats.org/spreadsheetml/2006/main" count="117" uniqueCount="103">
  <si>
    <t>Deutsche Bank Aktiengesellschaft (DBK.DE)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</si>
  <si>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</si>
  <si>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</si>
  <si>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</si>
  <si>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</si>
  <si>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</si>
  <si>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</si>
  <si>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</si>
  <si>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</si>
  <si>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</si>
  <si>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</si>
  <si>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</si>
  <si>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</si>
  <si>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</si>
  <si>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</si>
  <si>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</si>
  <si>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</si>
  <si>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</si>
  <si>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</si>
  <si>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</si>
  <si>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</si>
  <si>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</si>
  <si>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18.2%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</si>
  <si>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</si>
  <si>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</si>
  <si>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</si>
  <si>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</si>
  <si>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</si>
  <si>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</si>
  <si>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</si>
  <si>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</si>
  <si>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</si>
  <si>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</si>
  <si>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</si>
  <si>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</si>
  <si>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</si>
  <si>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</si>
  <si>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</si>
  <si>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</si>
  <si>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</si>
  <si>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</si>
  <si>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</si>
  <si>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</si>
  <si>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</si>
  <si>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</si>
  <si>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</si>
  <si>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</si>
  <si>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</si>
  <si>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</si>
  <si>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</si>
  <si>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</si>
  <si>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</si>
  <si>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</si>
  <si>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</si>
  <si>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</si>
  <si>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</si>
  <si>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</si>
  <si>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</si>
  <si>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</si>
  <si>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</si>
  <si>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</si>
  <si>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</si>
  <si>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</si>
  <si>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</si>
  <si>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</si>
  <si>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</si>
  <si>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</si>
  <si>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</si>
  <si>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</si>
  <si>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</si>
  <si>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</si>
  <si>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</si>
  <si>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</si>
  <si>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</si>
  <si>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</si>
  <si>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</si>
  <si>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</si>
  <si>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</si>
  <si>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</si>
  <si>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</si>
  <si>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</si>
  <si>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</si>
  <si>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</si>
  <si>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</si>
  <si>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</si>
  <si>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</si>
  <si>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</si>
  <si>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</si>
  <si>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</si>
  <si>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</si>
  <si>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</si>
  <si>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</si>
  <si>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</si>
  <si>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</si>
  <si>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</si>
  <si>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</si>
  <si>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</si>
  <si>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</si>
  <si>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</si>
  <si>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</si>
  <si>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Capital expenditure runs at 1.5%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</si>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</sst>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0.06389517926644728</v>
      </c>
    </row>
    <row r="7" spans="1:2" x14ac:dyDescent="0.25">
      <c r="A7" t="s">
        <v>5</v>
      </c>
      <c r="B7" s="6">
        <v>0.22143657221634896</v>
      </c>
    </row>
    <row r="8" spans="1:2" x14ac:dyDescent="0.25">
      <c r="A8" t="s">
        <v>6</v>
      </c>
      <c r="B8" s="6">
        <v>0.2663652245401295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0.014657699606787582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5.645046864659336</v>
      </c>
    </row>
    <row r="14" spans="1:3" x14ac:dyDescent="0.25">
      <c r="A14" t="s">
        <v>12</v>
      </c>
      <c r="B14" s="6">
        <v>0.04802625782134412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0.99732</v>
      </c>
      <c r="C19" s="8" t="s">
        <v>19</v>
      </c>
    </row>
    <row r="20" spans="1:2" x14ac:dyDescent="0.25">
      <c r="A20" t="s">
        <v>20</v>
      </c>
      <c r="B20" s="10">
        <f>B17+B19*B18</f>
        <v>0.08583919999999999</v>
      </c>
    </row>
    <row r="21" spans="1:3" x14ac:dyDescent="0.25">
      <c r="A21" t="s">
        <v>21</v>
      </c>
      <c r="B21" s="6">
        <v>0.046</v>
      </c>
      <c r="C21" s="8" t="s">
        <v>22</v>
      </c>
    </row>
    <row r="22" spans="1:2" x14ac:dyDescent="0.25">
      <c r="A22" t="s">
        <v>23</v>
      </c>
      <c r="B22" s="11">
        <v>62100951040</v>
      </c>
    </row>
    <row r="23" spans="1:2" x14ac:dyDescent="0.25">
      <c r="A23" t="s">
        <v>24</v>
      </c>
      <c r="B23" s="11">
        <v>164452000000</v>
      </c>
    </row>
    <row r="24" spans="1:2" x14ac:dyDescent="0.25">
      <c r="A24" t="s">
        <v>25</v>
      </c>
      <c r="B24" s="10">
        <f>B22/(B22+B23)</f>
        <v>0.2741123024658174</v>
      </c>
    </row>
    <row r="25" spans="1:2" x14ac:dyDescent="0.25">
      <c r="A25" t="s">
        <v>26</v>
      </c>
      <c r="B25" s="10">
        <f>1-B24</f>
        <v>0.7258876975341826</v>
      </c>
    </row>
    <row r="26" spans="1:2" x14ac:dyDescent="0.25">
      <c r="A26" t="s">
        <v>27</v>
      </c>
      <c r="B26" s="12">
        <f>B24*B20+B25*B21*(1-B8)</f>
        <v>0.04802625782134412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32099000000</v>
      </c>
      <c r="C29" s="8" t="s">
        <v>30</v>
      </c>
    </row>
    <row r="30" spans="1:2" x14ac:dyDescent="0.25">
      <c r="A30" t="s">
        <v>31</v>
      </c>
      <c r="B30" s="11">
        <v>-7169000000</v>
      </c>
    </row>
    <row r="31" spans="1:2" x14ac:dyDescent="0.25">
      <c r="A31" t="s">
        <v>32</v>
      </c>
      <c r="B31" s="13">
        <v>1939573264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0.06389517926644728</v>
      </c>
      <c r="C5" s="10">
        <f>Assumptions!B6</f>
        <v>0.06389517926644728</v>
      </c>
      <c r="D5" s="10">
        <f>Assumptions!B6</f>
        <v>0.06389517926644728</v>
      </c>
      <c r="E5" s="10">
        <f>Assumptions!B6</f>
        <v>0.06389517926644728</v>
      </c>
      <c r="F5" s="10">
        <f>Assumptions!B6</f>
        <v>0.06389517926644728</v>
      </c>
    </row>
    <row r="6" spans="1:6" x14ac:dyDescent="0.25">
      <c r="A6" t="s">
        <v>43</v>
      </c>
      <c r="B6" s="18">
        <f>Assumptions!B29*(1+B5)</f>
        <v>34149971359.27369</v>
      </c>
      <c r="C6" s="18">
        <f>B6*(1+C5)</f>
        <v>36331989901.21852</v>
      </c>
      <c r="D6" s="18">
        <f>C6*(1+D5)</f>
        <v>38653428909.06363</v>
      </c>
      <c r="E6" s="18">
        <f>D6*(1+E5)</f>
        <v>41123196678.47112</v>
      </c>
      <c r="F6" s="18">
        <f>E6*(1+F5)</f>
        <v>43750770702.2514</v>
      </c>
    </row>
    <row r="7" spans="1:6" x14ac:dyDescent="0.25">
      <c r="A7" t="s">
        <v>5</v>
      </c>
      <c r="B7" s="10">
        <f>Assumptions!B7</f>
        <v>0.22143657221634896</v>
      </c>
      <c r="C7" s="10">
        <f>Assumptions!B7</f>
        <v>0.22143657221634896</v>
      </c>
      <c r="D7" s="10">
        <f>Assumptions!B7</f>
        <v>0.22143657221634896</v>
      </c>
      <c r="E7" s="10">
        <f>Assumptions!B7</f>
        <v>0.22143657221634896</v>
      </c>
      <c r="F7" s="10">
        <f>Assumptions!B7</f>
        <v>0.22143657221634896</v>
      </c>
    </row>
    <row r="8" spans="1:6" x14ac:dyDescent="0.25">
      <c r="A8" t="s">
        <v>44</v>
      </c>
      <c r="B8" s="18">
        <f>B6*B7</f>
        <v>7562052599.084057</v>
      </c>
      <c r="C8" s="18">
        <f>C6*C7</f>
        <v>8045231305.524837</v>
      </c>
      <c r="D8" s="18">
        <f>D6*D7</f>
        <v>8559282802.031379</v>
      </c>
      <c r="E8" s="18">
        <f>E6*E7</f>
        <v>9106179711.059393</v>
      </c>
      <c r="F8" s="18">
        <f>F6*F7</f>
        <v>9688020696.130018</v>
      </c>
    </row>
    <row r="9" spans="1:6" x14ac:dyDescent="0.25">
      <c r="A9" t="s">
        <v>45</v>
      </c>
      <c r="B9" s="18">
        <f>B8*(1-Assumptions!B8)</f>
        <v>5547784760.544762</v>
      </c>
      <c r="C9" s="18">
        <f>C8*(1-Assumptions!B8)</f>
        <v>5902261462.351434</v>
      </c>
      <c r="D9" s="18">
        <f>D8*(1-Assumptions!B8)</f>
        <v>6279387516.565822</v>
      </c>
      <c r="E9" s="18">
        <f>E8*(1-Assumptions!B8)</f>
        <v>6680610107.620286</v>
      </c>
      <c r="F9" s="18">
        <f>F8*(1-Assumptions!B8)</f>
        <v>7107468888.055923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-500560021.7646331</v>
      </c>
      <c r="C11" s="18">
        <f>-C6*Assumptions!B10</f>
        <v>-532543394.0889011</v>
      </c>
      <c r="D11" s="18">
        <f>-D6*Assumptions!B10</f>
        <v>-566570349.7213737</v>
      </c>
      <c r="E11" s="18">
        <f>-E6*Assumptions!B10</f>
        <v>-602771463.7838745</v>
      </c>
      <c r="F11" s="18">
        <f>-F6*Assumptions!B10</f>
        <v>-641285654.519044</v>
      </c>
    </row>
    <row r="12" spans="1:6" x14ac:dyDescent="0.25">
      <c r="A12" t="s">
        <v>48</v>
      </c>
      <c r="B12" s="18">
        <f>-(B6-Assumptions!B29)*Assumptions!B11</f>
        <v>-2050971359.2736893</v>
      </c>
      <c r="C12" s="18">
        <f>-(C6-B6)*Assumptions!B11</f>
        <v>-2182018541.944832</v>
      </c>
      <c r="D12" s="18">
        <f>-(D6-C6)*Assumptions!B11</f>
        <v>-2321439007.845108</v>
      </c>
      <c r="E12" s="18">
        <f>-(E6-D6)*Assumptions!B11</f>
        <v>-2469767769.4074936</v>
      </c>
      <c r="F12" s="18">
        <f>-(F6-E6)*Assumptions!B11</f>
        <v>-2627574023.780281</v>
      </c>
    </row>
    <row r="13" spans="1:6" x14ac:dyDescent="0.25">
      <c r="A13" s="19" t="s">
        <v>49</v>
      </c>
      <c r="B13" s="20">
        <f>B9+B10+B11+B12</f>
        <v>2996253379.506439</v>
      </c>
      <c r="C13" s="20">
        <f>C9+C10+C11+C12</f>
        <v>3187699526.3177004</v>
      </c>
      <c r="D13" s="20">
        <f>D9+D10+D11+D12</f>
        <v>3391378158.99934</v>
      </c>
      <c r="E13" s="20">
        <f>E9+E10+E11+E12</f>
        <v>3608070874.428918</v>
      </c>
      <c r="F13" s="20">
        <f>F9+F10+F11+F12</f>
        <v>3838609209.7565985</v>
      </c>
    </row>
    <row r="14" spans="1:6" x14ac:dyDescent="0.25">
      <c r="A14" t="s">
        <v>50</v>
      </c>
      <c r="B14" s="21">
        <f>1/(1+Assumptions!$B$26)^(1-0.5*Assumptions!$B$32)</f>
        <v>0.9768185943529003</v>
      </c>
      <c r="C14" s="21">
        <f>1/(1+Assumptions!$B$26)^(2-0.5*Assumptions!$B$32)</f>
        <v>0.9320554585946427</v>
      </c>
      <c r="D14" s="21">
        <f>1/(1+Assumptions!$B$26)^(3-0.5*Assumptions!$B$32)</f>
        <v>0.8893436129474622</v>
      </c>
      <c r="E14" s="21">
        <f>1/(1+Assumptions!$B$26)^(4-0.5*Assumptions!$B$32)</f>
        <v>0.8485890561523198</v>
      </c>
      <c r="F14" s="21">
        <f>1/(1+Assumptions!$B$26)^(5-0.5*Assumptions!$B$32)</f>
        <v>0.809702094598643</v>
      </c>
    </row>
    <row r="15" spans="1:6" x14ac:dyDescent="0.25">
      <c r="A15" s="19" t="s">
        <v>51</v>
      </c>
      <c r="B15" s="20">
        <f>B13*B14</f>
        <v>2926796014.494607</v>
      </c>
      <c r="C15" s="20">
        <f>C13*C14</f>
        <v>2971112743.8639693</v>
      </c>
      <c r="D15" s="20">
        <f>D13*D14</f>
        <v>3016100504.795586</v>
      </c>
      <c r="E15" s="20">
        <f>E13*E14</f>
        <v>3061769457.862311</v>
      </c>
      <c r="F15" s="20">
        <f>F13*F14</f>
        <v>3108129917.4855595</v>
      </c>
    </row>
    <row r="17" spans="1:2" x14ac:dyDescent="0.25">
      <c r="A17" s="22" t="s">
        <v>52</v>
      </c>
      <c r="B17" s="23">
        <f>SUM(B15:F15)</f>
        <v>15083908638.502031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3838609209.7565985</v>
      </c>
    </row>
    <row r="5" spans="1:2" x14ac:dyDescent="0.25">
      <c r="A5" t="s">
        <v>56</v>
      </c>
      <c r="B5" s="18">
        <f>IF(Assumptions!$B$33=0,B4,B4-Forecast!F11-Forecast!F10-Forecast!F12)</f>
        <v>7107468888.055923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0.5205485735115791</v>
      </c>
    </row>
    <row r="7" spans="1:2" x14ac:dyDescent="0.25">
      <c r="A7" t="s">
        <v>58</v>
      </c>
      <c r="B7" s="18">
        <f>-MAX(Forecast!F9,0)*B6</f>
        <v>-3699782790.9554405</v>
      </c>
    </row>
    <row r="8" spans="1:2" x14ac:dyDescent="0.25">
      <c r="A8" t="s">
        <v>59</v>
      </c>
      <c r="B8" s="18">
        <f>IF(OR(Assumptions!$B$33=0,Assumptions!B12&lt;=0),B5,MAX(B5+B7,0))</f>
        <v>3407686097.100483</v>
      </c>
    </row>
    <row r="9" spans="1:2" x14ac:dyDescent="0.25">
      <c r="A9" t="s">
        <v>60</v>
      </c>
      <c r="B9" s="18">
        <f>B8*(1+Assumptions!B12)/(Assumptions!B26-Assumptions!B12)</f>
        <v>151691094429.17303</v>
      </c>
    </row>
    <row r="10" spans="1:2" x14ac:dyDescent="0.25">
      <c r="A10" t="s">
        <v>61</v>
      </c>
      <c r="B10" s="18">
        <f>B9/(1+Assumptions!B26)^(5-0.5*Assumptions!B32)</f>
        <v>122824596891.26195</v>
      </c>
    </row>
    <row r="11" spans="1:2" x14ac:dyDescent="0.25">
      <c r="A11" t="s">
        <v>62</v>
      </c>
      <c r="B11" s="18">
        <f>Forecast!B17+B10</f>
        <v>137908505529.76398</v>
      </c>
    </row>
    <row r="12" spans="1:2" x14ac:dyDescent="0.25">
      <c r="A12" t="s">
        <v>63</v>
      </c>
      <c r="B12" s="18">
        <f>-Assumptions!B30</f>
        <v>7169000000</v>
      </c>
    </row>
    <row r="13" spans="1:2" x14ac:dyDescent="0.25">
      <c r="A13" t="s">
        <v>64</v>
      </c>
      <c r="B13" s="18">
        <f>B11+B12</f>
        <v>145077505529.76398</v>
      </c>
    </row>
    <row r="14" spans="1:2" x14ac:dyDescent="0.25">
      <c r="A14" s="19" t="s">
        <v>65</v>
      </c>
      <c r="B14" s="24">
        <f>B13/Assumptions!B31</f>
        <v>74.79867258562292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9688020696.130018</v>
      </c>
    </row>
    <row r="18" spans="1:2" x14ac:dyDescent="0.25">
      <c r="A18" t="s">
        <v>60</v>
      </c>
      <c r="B18" s="18">
        <f>B17*Assumptions!B13</f>
        <v>54689330855.44352</v>
      </c>
    </row>
    <row r="19" spans="1:2" x14ac:dyDescent="0.25">
      <c r="A19" t="s">
        <v>61</v>
      </c>
      <c r="B19" s="18">
        <f>B18/(1+Assumptions!B26)^(5-0.5*Assumptions!B32)</f>
        <v>44282065745.850815</v>
      </c>
    </row>
    <row r="20" spans="1:2" x14ac:dyDescent="0.25">
      <c r="A20" t="s">
        <v>62</v>
      </c>
      <c r="B20" s="18">
        <f>Forecast!B17+B19</f>
        <v>59365974384.352844</v>
      </c>
    </row>
    <row r="21" spans="1:2" x14ac:dyDescent="0.25">
      <c r="A21" t="s">
        <v>63</v>
      </c>
      <c r="B21" s="18">
        <f>-Assumptions!B30</f>
        <v>7169000000</v>
      </c>
    </row>
    <row r="22" spans="1:2" x14ac:dyDescent="0.25">
      <c r="A22" t="s">
        <v>64</v>
      </c>
      <c r="B22" s="18">
        <f>B20+B21</f>
        <v>66534974384.352844</v>
      </c>
    </row>
    <row r="23" spans="1:2" x14ac:dyDescent="0.25">
      <c r="A23" s="19" t="s">
        <v>65</v>
      </c>
      <c r="B23" s="25">
        <f>B22/Assumptions!B31</f>
        <v>34.3039242803013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74.79867258562292</v>
      </c>
    </row>
    <row r="29" spans="1:2" x14ac:dyDescent="0.25">
      <c r="A29" s="19" t="s">
        <v>73</v>
      </c>
      <c r="B29" s="12">
        <f>B28/B26-1</f>
        <v>1.2631973550869269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0.028026</v>
      </c>
      <c r="B5" s="31">
        <v>129.05590920408966</v>
      </c>
      <c r="C5" s="31">
        <v>129.63320609850538</v>
      </c>
      <c r="D5" s="31">
        <v>130.2105029929212</v>
      </c>
      <c r="E5" s="31" t="s">
        <v>76</v>
      </c>
      <c r="F5" s="31" t="s">
        <v>76</v>
      </c>
    </row>
    <row r="6" spans="1:6" x14ac:dyDescent="0.25">
      <c r="A6" s="30">
        <v>0.038026</v>
      </c>
      <c r="B6" s="31">
        <v>94.35557273310702</v>
      </c>
      <c r="C6" s="31">
        <v>94.76291651984447</v>
      </c>
      <c r="D6" s="31">
        <v>95.17026030658188</v>
      </c>
      <c r="E6" s="31">
        <v>95.5776040933193</v>
      </c>
      <c r="F6" s="31">
        <v>117.6250798197527</v>
      </c>
    </row>
    <row r="7" spans="1:6" x14ac:dyDescent="0.25">
      <c r="A7" s="30">
        <v>0.048026</v>
      </c>
      <c r="B7" s="31">
        <v>74.18127297291694</v>
      </c>
      <c r="C7" s="31">
        <v>74.4901802289115</v>
      </c>
      <c r="D7" s="32">
        <v>74.79908748490604</v>
      </c>
      <c r="E7" s="31">
        <v>75.1079947409006</v>
      </c>
      <c r="F7" s="31">
        <v>75.41690199689518</v>
      </c>
    </row>
    <row r="8" spans="1:6" x14ac:dyDescent="0.25">
      <c r="A8" s="30">
        <v>0.058026</v>
      </c>
      <c r="B8" s="31">
        <v>61.01918020477403</v>
      </c>
      <c r="C8" s="31">
        <v>61.26415568520508</v>
      </c>
      <c r="D8" s="31">
        <v>61.50913116563612</v>
      </c>
      <c r="E8" s="31">
        <v>61.754106646067164</v>
      </c>
      <c r="F8" s="31">
        <v>61.99908212649821</v>
      </c>
    </row>
    <row r="9" spans="1:6" x14ac:dyDescent="0.25">
      <c r="A9" s="30">
        <v>0.068026</v>
      </c>
      <c r="B9" s="31">
        <v>51.773892811549935</v>
      </c>
      <c r="C9" s="31">
        <v>51.974194972273985</v>
      </c>
      <c r="D9" s="31">
        <v>52.17449713299802</v>
      </c>
      <c r="E9" s="31">
        <v>52.37479929372207</v>
      </c>
      <c r="F9" s="31">
        <v>52.57510145444611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32099000000</v>
      </c>
      <c r="C5" s="18">
        <v>30047000000</v>
      </c>
      <c r="D5" s="18">
        <v>28875000000</v>
      </c>
      <c r="E5" s="18">
        <v>26656000000</v>
      </c>
      <c r="F5" s="8" t="s">
        <v>85</v>
      </c>
    </row>
    <row r="6" spans="1:6" x14ac:dyDescent="0.25">
      <c r="A6" t="s">
        <v>44</v>
      </c>
      <c r="B6" s="18">
        <v>9731000000</v>
      </c>
      <c r="C6" s="18">
        <v>5291000000</v>
      </c>
      <c r="D6" s="18">
        <v>5678000000</v>
      </c>
      <c r="E6" s="18">
        <v>5594000000</v>
      </c>
      <c r="F6" s="8" t="s">
        <v>86</v>
      </c>
    </row>
    <row r="7" spans="1:6" x14ac:dyDescent="0.25">
      <c r="A7" t="s">
        <v>87</v>
      </c>
      <c r="B7" s="18">
        <v>0</v>
      </c>
      <c r="C7" s="18">
        <v>0</v>
      </c>
      <c r="D7" s="18">
        <v>0</v>
      </c>
      <c r="E7" s="18">
        <v>0</v>
      </c>
      <c r="F7" s="8" t="s">
        <v>86</v>
      </c>
    </row>
    <row r="8" spans="1:6" x14ac:dyDescent="0.25">
      <c r="A8" t="s">
        <v>88</v>
      </c>
      <c r="B8" s="18">
        <v>443000000</v>
      </c>
      <c r="C8" s="18">
        <v>528000000</v>
      </c>
      <c r="D8" s="18">
        <v>422000000</v>
      </c>
      <c r="E8" s="18">
        <v>337000000</v>
      </c>
      <c r="F8" s="8" t="s">
        <v>89</v>
      </c>
    </row>
    <row r="9" spans="1:6" x14ac:dyDescent="0.25">
      <c r="A9" t="s">
        <v>90</v>
      </c>
      <c r="B9" s="18">
        <v>-34648000000</v>
      </c>
      <c r="C9" s="18">
        <v>37704000000</v>
      </c>
      <c r="D9" s="18">
        <v>3590000000</v>
      </c>
      <c r="E9" s="18">
        <v>11557000000</v>
      </c>
      <c r="F9" s="8" t="s">
        <v>91</v>
      </c>
    </row>
    <row r="10" spans="1:6" x14ac:dyDescent="0.25">
      <c r="A10" t="s">
        <v>92</v>
      </c>
      <c r="B10" s="18">
        <v>164452000000</v>
      </c>
      <c r="C10" s="18">
        <v>151490000000</v>
      </c>
      <c r="D10" s="18">
        <v>144217000000</v>
      </c>
      <c r="E10" s="18">
        <v>146379000000</v>
      </c>
      <c r="F10" s="8" t="s">
        <v>93</v>
      </c>
    </row>
    <row r="11" spans="1:6" x14ac:dyDescent="0.25">
      <c r="A11" t="s">
        <v>94</v>
      </c>
      <c r="B11" s="18">
        <v>171621000000</v>
      </c>
      <c r="C11" s="18">
        <v>153654000000</v>
      </c>
      <c r="D11" s="18">
        <v>184556000000</v>
      </c>
      <c r="E11" s="18">
        <v>186091000000</v>
      </c>
      <c r="F11" s="8" t="s">
        <v>95</v>
      </c>
    </row>
    <row r="12" spans="1:6" x14ac:dyDescent="0.25">
      <c r="A12" t="s">
        <v>32</v>
      </c>
      <c r="B12" s="34">
        <v>1939573264</v>
      </c>
      <c r="C12" s="34">
        <v>2039300000</v>
      </c>
      <c r="D12" s="34">
        <v>2104000000</v>
      </c>
      <c r="E12" s="34">
        <v>2125600000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