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<sst xmlns="http://schemas.openxmlformats.org/spreadsheetml/2006/main" count="112" uniqueCount="100">
  <si>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DCC Energy plc (DCC.L)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</si>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</sst>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-0.11403350051319361</v>
      </c>
    </row>
    <row r="7" spans="1:2" x14ac:dyDescent="0.25">
      <c r="A7" t="s">
        <v>5</v>
      </c>
      <c r="B7" s="6">
        <v>0.028596727444036782</v>
      </c>
    </row>
    <row r="8" spans="1:2" x14ac:dyDescent="0.25">
      <c r="A8" t="s">
        <v>6</v>
      </c>
      <c r="B8" s="6">
        <v>0.19795885601030738</v>
      </c>
    </row>
    <row r="9" spans="1:2" x14ac:dyDescent="0.25">
      <c r="A9" t="s">
        <v>7</v>
      </c>
      <c r="B9" s="6">
        <v>0.019911273569300815</v>
      </c>
    </row>
    <row r="10" spans="1:2" x14ac:dyDescent="0.25">
      <c r="A10" t="s">
        <v>8</v>
      </c>
      <c r="B10" s="6">
        <v>0.012397484774625257</v>
      </c>
    </row>
    <row r="11" spans="1:2" x14ac:dyDescent="0.25">
      <c r="A11" t="s">
        <v>9</v>
      </c>
      <c r="B11" s="6">
        <v>0.01688285914238263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7.5773196857934195</v>
      </c>
    </row>
    <row r="14" spans="1:3" x14ac:dyDescent="0.25">
      <c r="A14" t="s">
        <v>12</v>
      </c>
      <c r="B14" s="6">
        <v>0.07933001649134455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0.8190999999999999</v>
      </c>
      <c r="C19" s="8" t="s">
        <v>19</v>
      </c>
    </row>
    <row r="20" spans="1:2" x14ac:dyDescent="0.25">
      <c r="A20" t="s">
        <v>20</v>
      </c>
      <c r="B20" s="10">
        <f>B17+B19*B18</f>
        <v>0.0900505</v>
      </c>
    </row>
    <row r="21" spans="1:3" x14ac:dyDescent="0.25">
      <c r="A21" t="s">
        <v>21</v>
      </c>
      <c r="B21" s="6">
        <v>0.04500876571759242</v>
      </c>
      <c r="C21" s="8" t="s">
        <v>22</v>
      </c>
    </row>
    <row r="22" spans="1:2" x14ac:dyDescent="0.25">
      <c r="A22" t="s">
        <v>23</v>
      </c>
      <c r="B22" s="11">
        <v>5488500736</v>
      </c>
    </row>
    <row r="23" spans="1:2" x14ac:dyDescent="0.25">
      <c r="A23" t="s">
        <v>24</v>
      </c>
      <c r="B23" s="11">
        <v>2275233000</v>
      </c>
    </row>
    <row r="24" spans="1:2" x14ac:dyDescent="0.25">
      <c r="A24" t="s">
        <v>25</v>
      </c>
      <c r="B24" s="10">
        <f>B22/(B22+B23)</f>
        <v>0.7069408769842439</v>
      </c>
    </row>
    <row r="25" spans="1:2" x14ac:dyDescent="0.25">
      <c r="A25" t="s">
        <v>26</v>
      </c>
      <c r="B25" s="10">
        <f>1-B24</f>
        <v>0.2930591230157561</v>
      </c>
    </row>
    <row r="26" spans="1:2" x14ac:dyDescent="0.25">
      <c r="A26" t="s">
        <v>27</v>
      </c>
      <c r="B26" s="12">
        <f>B24*B20+B25*B21*(1-B8)</f>
        <v>0.07423948612772636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15441862000</v>
      </c>
      <c r="C29" s="8" t="s">
        <v>30</v>
      </c>
    </row>
    <row r="30" spans="1:2" x14ac:dyDescent="0.25">
      <c r="A30" t="s">
        <v>31</v>
      </c>
      <c r="B30" s="11">
        <v>1189626000</v>
      </c>
    </row>
    <row r="31" spans="1:2" x14ac:dyDescent="0.25">
      <c r="A31" t="s">
        <v>32</v>
      </c>
      <c r="B31" s="13">
        <v>94607000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-0.11403350051319361</v>
      </c>
      <c r="C5" s="10">
        <f>Assumptions!B6</f>
        <v>-0.11403350051319361</v>
      </c>
      <c r="D5" s="10">
        <f>Assumptions!B6</f>
        <v>-0.11403350051319361</v>
      </c>
      <c r="E5" s="10">
        <f>Assumptions!B6</f>
        <v>-0.11403350051319361</v>
      </c>
      <c r="F5" s="10">
        <f>Assumptions!B6</f>
        <v>-0.11403350051319361</v>
      </c>
    </row>
    <row r="6" spans="1:6" x14ac:dyDescent="0.25">
      <c r="A6" t="s">
        <v>43</v>
      </c>
      <c r="B6" s="18">
        <f>Assumptions!B29*(1+B5)</f>
        <v>13680972421.698336</v>
      </c>
      <c r="C6" s="18">
        <f>B6*(1+C5)</f>
        <v>12120883246.02761</v>
      </c>
      <c r="D6" s="18">
        <f>C6*(1+D5)</f>
        <v>10738696500.171362</v>
      </c>
      <c r="E6" s="18">
        <f>D6*(1+E5)</f>
        <v>9514125347.30804</v>
      </c>
      <c r="F6" s="18">
        <f>E6*(1+F5)</f>
        <v>8429196329.633201</v>
      </c>
    </row>
    <row r="7" spans="1:6" x14ac:dyDescent="0.25">
      <c r="A7" t="s">
        <v>5</v>
      </c>
      <c r="B7" s="10">
        <f>Assumptions!B7</f>
        <v>0.028596727444036782</v>
      </c>
      <c r="C7" s="10">
        <f>Assumptions!B7</f>
        <v>0.028596727444036782</v>
      </c>
      <c r="D7" s="10">
        <f>Assumptions!B7</f>
        <v>0.028596727444036782</v>
      </c>
      <c r="E7" s="10">
        <f>Assumptions!B7</f>
        <v>0.028596727444036782</v>
      </c>
      <c r="F7" s="10">
        <f>Assumptions!B7</f>
        <v>0.028596727444036782</v>
      </c>
    </row>
    <row r="8" spans="1:6" x14ac:dyDescent="0.25">
      <c r="A8" t="s">
        <v>44</v>
      </c>
      <c r="B8" s="18">
        <f>B6*B7</f>
        <v>391231039.51269114</v>
      </c>
      <c r="C8" s="18">
        <f>C6*C7</f>
        <v>346617594.5676434</v>
      </c>
      <c r="D8" s="18">
        <f>D6*D7</f>
        <v>307091576.91963214</v>
      </c>
      <c r="E8" s="18">
        <f>E6*E7</f>
        <v>272072849.4253698</v>
      </c>
      <c r="F8" s="18">
        <f>F6*F7</f>
        <v>241047430.01079586</v>
      </c>
    </row>
    <row r="9" spans="1:6" x14ac:dyDescent="0.25">
      <c r="A9" t="s">
        <v>45</v>
      </c>
      <c r="B9" s="18">
        <f>B8*(1-Assumptions!B8)</f>
        <v>313783390.4950354</v>
      </c>
      <c r="C9" s="18">
        <f>C8*(1-Assumptions!B8)</f>
        <v>278001572.0739882</v>
      </c>
      <c r="D9" s="18">
        <f>D8*(1-Assumptions!B8)</f>
        <v>246300079.66222045</v>
      </c>
      <c r="E9" s="18">
        <f>E8*(1-Assumptions!B8)</f>
        <v>218213619.40165898</v>
      </c>
      <c r="F9" s="18">
        <f>F8*(1-Assumptions!B8)</f>
        <v>193329956.52163407</v>
      </c>
    </row>
    <row r="10" spans="1:6" x14ac:dyDescent="0.25">
      <c r="A10" t="s">
        <v>46</v>
      </c>
      <c r="B10" s="18">
        <f>B6*Assumptions!B9</f>
        <v>272405584.58249545</v>
      </c>
      <c r="C10" s="18">
        <f>C6*Assumptions!B9</f>
        <v>241342222.21321064</v>
      </c>
      <c r="D10" s="18">
        <f>D6*Assumptions!B9</f>
        <v>213821123.7926052</v>
      </c>
      <c r="E10" s="18">
        <f>E6*Assumptions!B9</f>
        <v>189438352.56286952</v>
      </c>
      <c r="F10" s="18">
        <f>F6*Assumptions!B9</f>
        <v>167836034.088673</v>
      </c>
    </row>
    <row r="11" spans="1:6" x14ac:dyDescent="0.25">
      <c r="A11" t="s">
        <v>47</v>
      </c>
      <c r="B11" s="18">
        <f>-B6*Assumptions!B10</f>
        <v>-169609647.30007315</v>
      </c>
      <c r="C11" s="18">
        <f>-C6*Assumptions!B10</f>
        <v>-150268465.49763766</v>
      </c>
      <c r="D11" s="18">
        <f>-D6*Assumptions!B10</f>
        <v>-133132826.360196</v>
      </c>
      <c r="E11" s="18">
        <f>-E6*Assumptions!B10</f>
        <v>-117951224.13712767</v>
      </c>
      <c r="F11" s="18">
        <f>-F6*Assumptions!B10</f>
        <v>-104500833.1589547</v>
      </c>
    </row>
    <row r="12" spans="1:6" x14ac:dyDescent="0.25">
      <c r="A12" t="s">
        <v>48</v>
      </c>
      <c r="B12" s="18">
        <f>-(B6-Assumptions!B29)*Assumptions!B11</f>
        <v>29728850.715756547</v>
      </c>
      <c r="C12" s="18">
        <f>-(C6-B6)*Assumptions!B11</f>
        <v>26338765.80240468</v>
      </c>
      <c r="D12" s="18">
        <f>-(D6-C6)*Assumptions!B11</f>
        <v>23335264.138759267</v>
      </c>
      <c r="E12" s="18">
        <f>-(E6-D6)*Assumptions!B11</f>
        <v>20674262.28361656</v>
      </c>
      <c r="F12" s="18">
        <f>-(F6-E6)*Assumptions!B11</f>
        <v>18316703.784887876</v>
      </c>
    </row>
    <row r="13" spans="1:6" x14ac:dyDescent="0.25">
      <c r="A13" s="19" t="s">
        <v>49</v>
      </c>
      <c r="B13" s="20">
        <f>B9+B10+B11+B12</f>
        <v>446308178.49321425</v>
      </c>
      <c r="C13" s="20">
        <f>C9+C10+C11+C12</f>
        <v>395414094.59196585</v>
      </c>
      <c r="D13" s="20">
        <f>D9+D10+D11+D12</f>
        <v>350323641.2333889</v>
      </c>
      <c r="E13" s="20">
        <f>E9+E10+E11+E12</f>
        <v>310375010.11101735</v>
      </c>
      <c r="F13" s="20">
        <f>F9+F10+F11+F12</f>
        <v>274981861.23624027</v>
      </c>
    </row>
    <row r="14" spans="1:6" x14ac:dyDescent="0.25">
      <c r="A14" t="s">
        <v>50</v>
      </c>
      <c r="B14" s="21">
        <f>1/(1+Assumptions!$B$26)^(1-0.5*Assumptions!$B$32)</f>
        <v>0.9648269904490897</v>
      </c>
      <c r="C14" s="21">
        <f>1/(1+Assumptions!$B$26)^(2-0.5*Assumptions!$B$32)</f>
        <v>0.898148879191704</v>
      </c>
      <c r="D14" s="21">
        <f>1/(1+Assumptions!$B$26)^(3-0.5*Assumptions!$B$32)</f>
        <v>0.8360788174238782</v>
      </c>
      <c r="E14" s="21">
        <f>1/(1+Assumptions!$B$26)^(4-0.5*Assumptions!$B$32)</f>
        <v>0.7782983480133115</v>
      </c>
      <c r="F14" s="21">
        <f>1/(1+Assumptions!$B$26)^(5-0.5*Assumptions!$B$32)</f>
        <v>0.7245110220429676</v>
      </c>
    </row>
    <row r="15" spans="1:6" x14ac:dyDescent="0.25">
      <c r="A15" s="19" t="s">
        <v>51</v>
      </c>
      <c r="B15" s="20">
        <f>B13*B14</f>
        <v>430610176.66842306</v>
      </c>
      <c r="C15" s="20">
        <f>C13*C14</f>
        <v>355140725.8743766</v>
      </c>
      <c r="D15" s="20">
        <f>D13*D14</f>
        <v>292898175.6780388</v>
      </c>
      <c r="E15" s="20">
        <f>E13*E14</f>
        <v>241564357.63401967</v>
      </c>
      <c r="F15" s="20">
        <f>F13*F14</f>
        <v>199227389.3275459</v>
      </c>
    </row>
    <row r="17" spans="1:2" x14ac:dyDescent="0.25">
      <c r="A17" s="22" t="s">
        <v>52</v>
      </c>
      <c r="B17" s="23">
        <f>SUM(B15:F15)</f>
        <v>1519440825.182404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274981861.23624027</v>
      </c>
    </row>
    <row r="5" spans="1:2" x14ac:dyDescent="0.25">
      <c r="A5" t="s">
        <v>56</v>
      </c>
      <c r="B5" s="18">
        <f>IF(Assumptions!$B$33=0,B4,B4-Forecast!F11-Forecast!F10-Forecast!F12)</f>
        <v>236218554.9610579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0.3151392260548398</v>
      </c>
    </row>
    <row r="7" spans="1:2" x14ac:dyDescent="0.25">
      <c r="A7" t="s">
        <v>58</v>
      </c>
      <c r="B7" s="18">
        <f>-MAX(Forecast!F9,0)*B6</f>
        <v>-74441732.59022042</v>
      </c>
    </row>
    <row r="8" spans="1:2" x14ac:dyDescent="0.25">
      <c r="A8" t="s">
        <v>59</v>
      </c>
      <c r="B8" s="18">
        <f>IF(OR(Assumptions!$B$33=0,Assumptions!B12&lt;=0),B5,MAX(B5+B7,0))</f>
        <v>161776822.37083748</v>
      </c>
    </row>
    <row r="9" spans="1:2" x14ac:dyDescent="0.25">
      <c r="A9" t="s">
        <v>60</v>
      </c>
      <c r="B9" s="18">
        <f>B8*(1+Assumptions!B12)/(Assumptions!B26-Assumptions!B12)</f>
        <v>3367647714.6810794</v>
      </c>
    </row>
    <row r="10" spans="1:2" x14ac:dyDescent="0.25">
      <c r="A10" t="s">
        <v>61</v>
      </c>
      <c r="B10" s="18">
        <f>B9/(1+Assumptions!B26)^(5-0.5*Assumptions!B32)</f>
        <v>2439897887.644253</v>
      </c>
    </row>
    <row r="11" spans="1:2" x14ac:dyDescent="0.25">
      <c r="A11" t="s">
        <v>62</v>
      </c>
      <c r="B11" s="18">
        <f>Forecast!B17+B10</f>
        <v>3959338712.826657</v>
      </c>
    </row>
    <row r="12" spans="1:2" x14ac:dyDescent="0.25">
      <c r="A12" t="s">
        <v>63</v>
      </c>
      <c r="B12" s="18">
        <f>-Assumptions!B30</f>
        <v>-1189626000</v>
      </c>
    </row>
    <row r="13" spans="1:2" x14ac:dyDescent="0.25">
      <c r="A13" t="s">
        <v>64</v>
      </c>
      <c r="B13" s="18">
        <f>B11+B12</f>
        <v>2769712712.826657</v>
      </c>
    </row>
    <row r="14" spans="1:2" x14ac:dyDescent="0.25">
      <c r="A14" s="19" t="s">
        <v>65</v>
      </c>
      <c r="B14" s="24">
        <f>B13/Assumptions!B31</f>
        <v>29.275980771260656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408883464.0994688</v>
      </c>
    </row>
    <row r="18" spans="1:2" x14ac:dyDescent="0.25">
      <c r="A18" t="s">
        <v>60</v>
      </c>
      <c r="B18" s="18">
        <f>B17*Assumptions!B13</f>
        <v>3098240721.716312</v>
      </c>
    </row>
    <row r="19" spans="1:2" x14ac:dyDescent="0.25">
      <c r="A19" t="s">
        <v>61</v>
      </c>
      <c r="B19" s="18">
        <f>B18/(1+Assumptions!B26)^(5-0.5*Assumptions!B32)</f>
        <v>2244709551.8258266</v>
      </c>
    </row>
    <row r="20" spans="1:2" x14ac:dyDescent="0.25">
      <c r="A20" t="s">
        <v>62</v>
      </c>
      <c r="B20" s="18">
        <f>Forecast!B17+B19</f>
        <v>3764150377.0082307</v>
      </c>
    </row>
    <row r="21" spans="1:2" x14ac:dyDescent="0.25">
      <c r="A21" t="s">
        <v>63</v>
      </c>
      <c r="B21" s="18">
        <f>-Assumptions!B30</f>
        <v>-1189626000</v>
      </c>
    </row>
    <row r="22" spans="1:2" x14ac:dyDescent="0.25">
      <c r="A22" t="s">
        <v>64</v>
      </c>
      <c r="B22" s="18">
        <f>B20+B21</f>
        <v>2574524377.0082307</v>
      </c>
    </row>
    <row r="23" spans="1:2" x14ac:dyDescent="0.25">
      <c r="A23" s="19" t="s">
        <v>65</v>
      </c>
      <c r="B23" s="25">
        <f>B22/Assumptions!B31</f>
        <v>27.21283178843247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6425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2927.5980771260656</v>
      </c>
    </row>
    <row r="29" spans="1:2" x14ac:dyDescent="0.25">
      <c r="A29" s="19" t="s">
        <v>73</v>
      </c>
      <c r="B29" s="12">
        <f>B28/B26-1</f>
        <v>-0.5443427117313517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0.054239</v>
      </c>
      <c r="B5" s="31">
        <v>45.43904092153963</v>
      </c>
      <c r="C5" s="31">
        <v>48.006075828238814</v>
      </c>
      <c r="D5" s="31">
        <v>51.40862363729288</v>
      </c>
      <c r="E5" s="31">
        <v>56.163730989871965</v>
      </c>
      <c r="F5" s="31">
        <v>63.32594298462334</v>
      </c>
    </row>
    <row r="6" spans="1:6" x14ac:dyDescent="0.25">
      <c r="A6" s="30">
        <v>0.064239</v>
      </c>
      <c r="B6" s="31">
        <v>35.34822501497081</v>
      </c>
      <c r="C6" s="31">
        <v>36.34392169331451</v>
      </c>
      <c r="D6" s="31">
        <v>37.56306414251817</v>
      </c>
      <c r="E6" s="31">
        <v>39.10354326368578</v>
      </c>
      <c r="F6" s="31">
        <v>41.130209088605675</v>
      </c>
    </row>
    <row r="7" spans="1:6" x14ac:dyDescent="0.25">
      <c r="A7" s="30">
        <v>0.074239</v>
      </c>
      <c r="B7" s="31">
        <v>28.620718970955327</v>
      </c>
      <c r="C7" s="31">
        <v>28.928804356317382</v>
      </c>
      <c r="D7" s="32">
        <v>29.276303321340333</v>
      </c>
      <c r="E7" s="31">
        <v>29.67657972359135</v>
      </c>
      <c r="F7" s="31">
        <v>30.149808938549434</v>
      </c>
    </row>
    <row r="8" spans="1:6" x14ac:dyDescent="0.25">
      <c r="A8" s="30">
        <v>0.084239</v>
      </c>
      <c r="B8" s="31">
        <v>24.081431977183467</v>
      </c>
      <c r="C8" s="31">
        <v>24.18441957478508</v>
      </c>
      <c r="D8" s="31">
        <v>24.28740717238668</v>
      </c>
      <c r="E8" s="31">
        <v>24.390394769988283</v>
      </c>
      <c r="F8" s="31">
        <v>24.493382367589895</v>
      </c>
    </row>
    <row r="9" spans="1:6" x14ac:dyDescent="0.25">
      <c r="A9" s="30">
        <v>0.094239</v>
      </c>
      <c r="B9" s="31">
        <v>20.806707353979792</v>
      </c>
      <c r="C9" s="31">
        <v>20.89504080947615</v>
      </c>
      <c r="D9" s="31">
        <v>20.983374264972497</v>
      </c>
      <c r="E9" s="31">
        <v>21.07170772046886</v>
      </c>
      <c r="F9" s="31">
        <v>21.160041175965215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15441862000</v>
      </c>
      <c r="C5" s="18">
        <v>15904204000</v>
      </c>
      <c r="D5" s="18">
        <v>18854051000</v>
      </c>
      <c r="E5" s="18">
        <v>22204846000</v>
      </c>
      <c r="F5" s="8" t="s">
        <v>84</v>
      </c>
    </row>
    <row r="6" spans="1:6" x14ac:dyDescent="0.25">
      <c r="A6" t="s">
        <v>44</v>
      </c>
      <c r="B6" s="18">
        <v>532941000</v>
      </c>
      <c r="C6" s="18">
        <v>504543000</v>
      </c>
      <c r="D6" s="18">
        <v>473731000</v>
      </c>
      <c r="E6" s="18">
        <v>511246000</v>
      </c>
      <c r="F6" s="8" t="s">
        <v>85</v>
      </c>
    </row>
    <row r="7" spans="1:6" x14ac:dyDescent="0.25">
      <c r="A7" t="s">
        <v>86</v>
      </c>
      <c r="B7" s="18">
        <v>348390000</v>
      </c>
      <c r="C7" s="18">
        <v>372075000</v>
      </c>
      <c r="D7" s="18">
        <v>354269000</v>
      </c>
      <c r="E7" s="18">
        <v>330827000</v>
      </c>
      <c r="F7" s="8" t="s">
        <v>87</v>
      </c>
    </row>
    <row r="8" spans="1:6" x14ac:dyDescent="0.25">
      <c r="A8" t="s">
        <v>88</v>
      </c>
      <c r="B8" s="18">
        <v>209472000</v>
      </c>
      <c r="C8" s="18">
        <v>214295000</v>
      </c>
      <c r="D8" s="18">
        <v>230354000</v>
      </c>
      <c r="E8" s="18">
        <v>229440000</v>
      </c>
      <c r="F8" s="8" t="s">
        <v>89</v>
      </c>
    </row>
    <row r="9" spans="1:6" x14ac:dyDescent="0.25">
      <c r="A9" t="s">
        <v>90</v>
      </c>
      <c r="B9" s="18">
        <v>-71415000</v>
      </c>
      <c r="C9" s="18">
        <v>93763000</v>
      </c>
      <c r="D9" s="18">
        <v>-56571000</v>
      </c>
      <c r="E9" s="18">
        <v>13951000</v>
      </c>
      <c r="F9" s="8" t="s">
        <v>91</v>
      </c>
    </row>
    <row r="10" spans="1:6" x14ac:dyDescent="0.25">
      <c r="A10" t="s">
        <v>92</v>
      </c>
      <c r="B10" s="18">
        <v>2275233000</v>
      </c>
      <c r="C10" s="18">
        <v>2280013000</v>
      </c>
      <c r="D10" s="18">
        <v>2305901000</v>
      </c>
      <c r="E10" s="18">
        <v>2601161000</v>
      </c>
      <c r="F10" s="8" t="s">
        <v>93</v>
      </c>
    </row>
    <row r="11" spans="1:6" x14ac:dyDescent="0.25">
      <c r="A11" t="s">
        <v>94</v>
      </c>
      <c r="B11" s="18">
        <v>1085607000</v>
      </c>
      <c r="C11" s="18">
        <v>1088175000</v>
      </c>
      <c r="D11" s="18">
        <v>1109446000</v>
      </c>
      <c r="E11" s="18">
        <v>1421749000</v>
      </c>
      <c r="F11" s="8" t="s">
        <v>95</v>
      </c>
    </row>
    <row r="12" spans="1:6" x14ac:dyDescent="0.25">
      <c r="A12" t="s">
        <v>32</v>
      </c>
      <c r="B12" s="34">
        <v>94607000</v>
      </c>
      <c r="C12" s="34">
        <v>99065000</v>
      </c>
      <c r="D12" s="34">
        <v>98909000</v>
      </c>
      <c r="E12" s="34">
        <v>98811000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2026-09-19T01:05:21Z</dcterms:modified>
</cp:coreProperties>
</file>