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<sst xmlns="http://schemas.openxmlformats.org/spreadsheetml/2006/main" count="113" uniqueCount="101">
  <si>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DuPont de Nemours, Inc. (DD)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</si>
  <si>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</si>
  <si>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</si>
  <si>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</si>
  <si>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</si>
  <si>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</si>
  <si>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</si>
  <si>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</si>
  <si>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</si>
  <si>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</si>
  <si>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</si>
  <si>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</si>
  <si>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</si>
  <si>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</si>
  <si>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</si>
  <si>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</si>
  <si>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</si>
  <si>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</si>
  <si>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</si>
  <si>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</si>
  <si>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</si>
  <si>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</si>
  <si>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</si>
  <si>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</si>
  <si>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</si>
  <si>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</si>
  <si>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</si>
  <si>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</si>
  <si>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</si>
  <si>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</si>
  <si>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</si>
  <si>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</si>
  <si>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</si>
  <si>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</si>
  <si>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</si>
  <si>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</si>
  <si>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</si>
  <si>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</si>
  <si>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</si>
  <si>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</si>
  <si>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</si>
  <si>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</si>
  <si>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</si>
  <si>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</si>
  <si>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</si>
  <si>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</si>
  <si>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</si>
  <si>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</si>
  <si>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</si>
  <si>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</si>
  <si>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</si>
  <si>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</si>
  <si>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</si>
  <si>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</si>
  <si>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</si>
  <si>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</si>
  <si>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</si>
  <si>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</si>
  <si>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</si>
  <si>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</si>
  <si>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</si>
  <si>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</si>
  <si>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</si>
  <si>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</si>
  <si>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</si>
  <si>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</si>
  <si>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</si>
  <si>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</si>
  <si>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</si>
  <si>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</si>
  <si>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</si>
  <si>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</si>
  <si>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</si>
  <si>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</si>
  <si>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</si>
  <si>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</si>
  <si>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</si>
  <si>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</si>
  <si>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</si>
  <si>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</si>
  <si>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</si>
  <si>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</si>
  <si>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</si>
  <si>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</si>
  <si>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</si>
  <si>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</si>
  <si>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</si>
  <si>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</si>
  <si>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</si>
  <si>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</si>
  <si>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</si>
  <si>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</si>
  <si>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</si>
  <si>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</si>
  <si>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</si>
  <si>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</si>
  <si>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</si>
  <si>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</si>
  <si>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0.3%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</si>
  <si>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Capital expenditure runs at 12.7% of revenue against depreciation of 9.1%.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</si>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</sst>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-0.19269293381346742</v>
      </c>
    </row>
    <row r="7" spans="1:2" x14ac:dyDescent="0.25">
      <c r="A7" t="s">
        <v>5</v>
      </c>
      <c r="B7" s="6">
        <v>0.12909004792411555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0.09096522487508299</v>
      </c>
    </row>
    <row r="10" spans="1:2" x14ac:dyDescent="0.25">
      <c r="A10" t="s">
        <v>8</v>
      </c>
      <c r="B10" s="6">
        <v>0.12736611521193691</v>
      </c>
    </row>
    <row r="11" spans="1:2" x14ac:dyDescent="0.25">
      <c r="A11" t="s">
        <v>9</v>
      </c>
      <c r="B11" s="6">
        <v>-0.032328595970638765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13.205636119442602</v>
      </c>
    </row>
    <row r="14" spans="1:3" x14ac:dyDescent="0.25">
      <c r="A14" t="s">
        <v>12</v>
      </c>
      <c r="B14" s="6">
        <v>0.09875457556671317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1.05695</v>
      </c>
      <c r="C19" s="8" t="s">
        <v>19</v>
      </c>
    </row>
    <row r="20" spans="1:2" x14ac:dyDescent="0.25">
      <c r="A20" t="s">
        <v>20</v>
      </c>
      <c r="B20" s="10">
        <f>B17+B19*B18</f>
        <v>0.10811225000000001</v>
      </c>
    </row>
    <row r="21" spans="1:3" x14ac:dyDescent="0.25">
      <c r="A21" t="s">
        <v>21</v>
      </c>
      <c r="B21" s="6">
        <v>0.06039556198745779</v>
      </c>
      <c r="C21" s="8" t="s">
        <v>22</v>
      </c>
    </row>
    <row r="22" spans="1:2" x14ac:dyDescent="0.25">
      <c r="A22" t="s">
        <v>23</v>
      </c>
      <c r="B22" s="11">
        <v>17421893632</v>
      </c>
    </row>
    <row r="23" spans="1:2" x14ac:dyDescent="0.25">
      <c r="A23" t="s">
        <v>24</v>
      </c>
      <c r="B23" s="11">
        <v>3194000000</v>
      </c>
    </row>
    <row r="24" spans="1:2" x14ac:dyDescent="0.25">
      <c r="A24" t="s">
        <v>25</v>
      </c>
      <c r="B24" s="10">
        <f>B22/(B22+B23)</f>
        <v>0.8450709895474882</v>
      </c>
    </row>
    <row r="25" spans="1:2" x14ac:dyDescent="0.25">
      <c r="A25" t="s">
        <v>26</v>
      </c>
      <c r="B25" s="10">
        <f>1-B24</f>
        <v>0.15492901045251184</v>
      </c>
    </row>
    <row r="26" spans="1:2" x14ac:dyDescent="0.25">
      <c r="A26" t="s">
        <v>27</v>
      </c>
      <c r="B26" s="12">
        <f>B24*B20+B25*B21*(1-B8)</f>
        <v>0.09875457556671317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6849000000</v>
      </c>
      <c r="C29" s="8" t="s">
        <v>30</v>
      </c>
    </row>
    <row r="30" spans="1:2" x14ac:dyDescent="0.25">
      <c r="A30" t="s">
        <v>31</v>
      </c>
      <c r="B30" s="11">
        <v>2479000000</v>
      </c>
    </row>
    <row r="31" spans="1:2" x14ac:dyDescent="0.25">
      <c r="A31" t="s">
        <v>32</v>
      </c>
      <c r="B31" s="13">
        <v>139733333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-0.19269293381346742</v>
      </c>
      <c r="C5" s="10">
        <f>Assumptions!B6</f>
        <v>-0.19269293381346742</v>
      </c>
      <c r="D5" s="10">
        <f>Assumptions!B6</f>
        <v>-0.19269293381346742</v>
      </c>
      <c r="E5" s="10">
        <f>Assumptions!B6</f>
        <v>-0.19269293381346742</v>
      </c>
      <c r="F5" s="10">
        <f>Assumptions!B6</f>
        <v>-0.19269293381346742</v>
      </c>
    </row>
    <row r="6" spans="1:6" x14ac:dyDescent="0.25">
      <c r="A6" t="s">
        <v>43</v>
      </c>
      <c r="B6" s="18">
        <f>Assumptions!B29*(1+B5)</f>
        <v>5529246096.311562</v>
      </c>
      <c r="C6" s="18">
        <f>B6*(1+C5)</f>
        <v>4463799444.236625</v>
      </c>
      <c r="D6" s="18">
        <f>C6*(1+D5)</f>
        <v>3603656833.371744</v>
      </c>
      <c r="E6" s="18">
        <f>D6*(1+E5)</f>
        <v>2909257625.6923933</v>
      </c>
      <c r="F6" s="18">
        <f>E6*(1+F5)</f>
        <v>2348664238.5785236</v>
      </c>
    </row>
    <row r="7" spans="1:6" x14ac:dyDescent="0.25">
      <c r="A7" t="s">
        <v>5</v>
      </c>
      <c r="B7" s="10">
        <f>Assumptions!B7</f>
        <v>0.12909004792411555</v>
      </c>
      <c r="C7" s="10">
        <f>Assumptions!B7</f>
        <v>0.12909004792411555</v>
      </c>
      <c r="D7" s="10">
        <f>Assumptions!B7</f>
        <v>0.12909004792411555</v>
      </c>
      <c r="E7" s="10">
        <f>Assumptions!B7</f>
        <v>0.12909004792411555</v>
      </c>
      <c r="F7" s="10">
        <f>Assumptions!B7</f>
        <v>0.12909004792411555</v>
      </c>
    </row>
    <row r="8" spans="1:6" x14ac:dyDescent="0.25">
      <c r="A8" t="s">
        <v>44</v>
      </c>
      <c r="B8" s="18">
        <f>B6*B7</f>
        <v>713770643.5570883</v>
      </c>
      <c r="C8" s="18">
        <f>C6*C7</f>
        <v>576232084.1801462</v>
      </c>
      <c r="D8" s="18">
        <f>D6*D7</f>
        <v>465196233.32202494</v>
      </c>
      <c r="E8" s="18">
        <f>E6*E7</f>
        <v>375556206.32422966</v>
      </c>
      <c r="F8" s="18">
        <f>F6*F7</f>
        <v>303189179.11575794</v>
      </c>
    </row>
    <row r="9" spans="1:6" x14ac:dyDescent="0.25">
      <c r="A9" t="s">
        <v>45</v>
      </c>
      <c r="B9" s="18">
        <f>B8*(1-Assumptions!B8)</f>
        <v>563878808.4100997</v>
      </c>
      <c r="C9" s="18">
        <f>C8*(1-Assumptions!B8)</f>
        <v>455223346.5023155</v>
      </c>
      <c r="D9" s="18">
        <f>D8*(1-Assumptions!B8)</f>
        <v>367505024.3243997</v>
      </c>
      <c r="E9" s="18">
        <f>E8*(1-Assumptions!B8)</f>
        <v>296689402.99614143</v>
      </c>
      <c r="F9" s="18">
        <f>F8*(1-Assumptions!B8)</f>
        <v>239519451.50144878</v>
      </c>
    </row>
    <row r="10" spans="1:6" x14ac:dyDescent="0.25">
      <c r="A10" t="s">
        <v>46</v>
      </c>
      <c r="B10" s="18">
        <f>B6*Assumptions!B9</f>
        <v>502969114.540656</v>
      </c>
      <c r="C10" s="18">
        <f>C6*Assumptions!B9</f>
        <v>406050520.24225503</v>
      </c>
      <c r="D10" s="18">
        <f>D6*Assumptions!B9</f>
        <v>327807454.2202902</v>
      </c>
      <c r="E10" s="18">
        <f>E6*Assumptions!B9</f>
        <v>264641274.14065856</v>
      </c>
      <c r="F10" s="18">
        <f>F6*Assumptions!B9</f>
        <v>213646770.61836097</v>
      </c>
    </row>
    <row r="11" spans="1:6" x14ac:dyDescent="0.25">
      <c r="A11" t="s">
        <v>47</v>
      </c>
      <c r="B11" s="18">
        <f>-B6*Assumptions!B10</f>
        <v>-704238595.3379707</v>
      </c>
      <c r="C11" s="18">
        <f>-C6*Assumptions!B10</f>
        <v>-568536794.297622</v>
      </c>
      <c r="D11" s="18">
        <f>-D6*Assumptions!B10</f>
        <v>-458983771.4235093</v>
      </c>
      <c r="E11" s="18">
        <f>-E6*Assumptions!B10</f>
        <v>-370540841.9351434</v>
      </c>
      <c r="F11" s="18">
        <f>-F6*Assumptions!B10</f>
        <v>-299140240.0049483</v>
      </c>
    </row>
    <row r="12" spans="1:6" x14ac:dyDescent="0.25">
      <c r="A12" t="s">
        <v>48</v>
      </c>
      <c r="B12" s="18">
        <f>-(B6-Assumptions!B29)*Assumptions!B11</f>
        <v>-42665790.73301683</v>
      </c>
      <c r="C12" s="18">
        <f>-(C6-B6)*Assumptions!B11</f>
        <v>-34444394.34320036</v>
      </c>
      <c r="D12" s="18">
        <f>-(D6-C6)*Assumptions!B11</f>
        <v>-27807202.943781085</v>
      </c>
      <c r="E12" s="18">
        <f>-(E6-D6)*Assumptions!B11</f>
        <v>-22448951.427397415</v>
      </c>
      <c r="F12" s="18">
        <f>-(F6-E6)*Assumptions!B11</f>
        <v>-18123197.115816183</v>
      </c>
    </row>
    <row r="13" spans="1:6" x14ac:dyDescent="0.25">
      <c r="A13" s="19" t="s">
        <v>49</v>
      </c>
      <c r="B13" s="20">
        <f>B9+B10+B11+B12</f>
        <v>319943536.87976813</v>
      </c>
      <c r="C13" s="20">
        <f>C9+C10+C11+C12</f>
        <v>258292678.10374817</v>
      </c>
      <c r="D13" s="20">
        <f>D9+D10+D11+D12</f>
        <v>208521504.17739952</v>
      </c>
      <c r="E13" s="20">
        <f>E9+E10+E11+E12</f>
        <v>168340883.7742592</v>
      </c>
      <c r="F13" s="20">
        <f>F9+F10+F11+F12</f>
        <v>135902784.99904525</v>
      </c>
    </row>
    <row r="14" spans="1:6" x14ac:dyDescent="0.25">
      <c r="A14" t="s">
        <v>50</v>
      </c>
      <c r="B14" s="21">
        <f>1/(1+Assumptions!$B$26)^(1-0.5*Assumptions!$B$32)</f>
        <v>0.9540028051079535</v>
      </c>
      <c r="C14" s="21">
        <f>1/(1+Assumptions!$B$26)^(2-0.5*Assumptions!$B$32)</f>
        <v>0.8682583229434108</v>
      </c>
      <c r="D14" s="21">
        <f>1/(1+Assumptions!$B$26)^(3-0.5*Assumptions!$B$32)</f>
        <v>0.7902204388960861</v>
      </c>
      <c r="E14" s="21">
        <f>1/(1+Assumptions!$B$26)^(4-0.5*Assumptions!$B$32)</f>
        <v>0.7191964943477099</v>
      </c>
      <c r="F14" s="21">
        <f>1/(1+Assumptions!$B$26)^(5-0.5*Assumptions!$B$32)</f>
        <v>0.6545560859000421</v>
      </c>
    </row>
    <row r="15" spans="1:6" x14ac:dyDescent="0.25">
      <c r="A15" s="19" t="s">
        <v>51</v>
      </c>
      <c r="B15" s="20">
        <f>B13*B14</f>
        <v>305227031.65945876</v>
      </c>
      <c r="C15" s="20">
        <f>C13*C14</f>
        <v>224264767.51892263</v>
      </c>
      <c r="D15" s="20">
        <f>D13*D14</f>
        <v>164777954.5503367</v>
      </c>
      <c r="E15" s="20">
        <f>E13*E14</f>
        <v>121070173.46584252</v>
      </c>
      <c r="F15" s="20">
        <f>F13*F14</f>
        <v>88955995.01189002</v>
      </c>
    </row>
    <row r="17" spans="1:2" x14ac:dyDescent="0.25">
      <c r="A17" s="22" t="s">
        <v>52</v>
      </c>
      <c r="B17" s="23">
        <f>SUM(B15:F15)</f>
        <v>904295922.2064506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135902784.99904525</v>
      </c>
    </row>
    <row r="5" spans="1:2" x14ac:dyDescent="0.25">
      <c r="A5" t="s">
        <v>56</v>
      </c>
      <c r="B5" s="18">
        <f>IF(Assumptions!$B$33=0,B4,B4-Forecast!F11-Forecast!F10-Forecast!F12)</f>
        <v>239519451.50144878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0.25315282716304494</v>
      </c>
    </row>
    <row r="7" spans="1:2" x14ac:dyDescent="0.25">
      <c r="A7" t="s">
        <v>58</v>
      </c>
      <c r="B7" s="18">
        <f>-MAX(Forecast!F9,0)*B6</f>
        <v>-60635026.30813359</v>
      </c>
    </row>
    <row r="8" spans="1:2" x14ac:dyDescent="0.25">
      <c r="A8" t="s">
        <v>59</v>
      </c>
      <c r="B8" s="18">
        <f>IF(OR(Assumptions!$B$33=0,Assumptions!B12&lt;=0),B5,MAX(B5+B7,0))</f>
        <v>178884425.1933152</v>
      </c>
    </row>
    <row r="9" spans="1:2" x14ac:dyDescent="0.25">
      <c r="A9" t="s">
        <v>60</v>
      </c>
      <c r="B9" s="18">
        <f>B8*(1+Assumptions!B12)/(Assumptions!B26-Assumptions!B12)</f>
        <v>2486036078.633477</v>
      </c>
    </row>
    <row r="10" spans="1:2" x14ac:dyDescent="0.25">
      <c r="A10" t="s">
        <v>61</v>
      </c>
      <c r="B10" s="18">
        <f>B9/(1+Assumptions!B26)^(5-0.5*Assumptions!B32)</f>
        <v>1627250045.0366182</v>
      </c>
    </row>
    <row r="11" spans="1:2" x14ac:dyDescent="0.25">
      <c r="A11" t="s">
        <v>62</v>
      </c>
      <c r="B11" s="18">
        <f>Forecast!B17+B10</f>
        <v>2531545967.2430687</v>
      </c>
    </row>
    <row r="12" spans="1:2" x14ac:dyDescent="0.25">
      <c r="A12" t="s">
        <v>63</v>
      </c>
      <c r="B12" s="18">
        <f>-Assumptions!B30</f>
        <v>-2479000000</v>
      </c>
    </row>
    <row r="13" spans="1:2" x14ac:dyDescent="0.25">
      <c r="A13" t="s">
        <v>64</v>
      </c>
      <c r="B13" s="18">
        <f>B11+B12</f>
        <v>52545967.243068695</v>
      </c>
    </row>
    <row r="14" spans="1:2" x14ac:dyDescent="0.25">
      <c r="A14" s="19" t="s">
        <v>65</v>
      </c>
      <c r="B14" s="24">
        <f>B13/Assumptions!B31</f>
        <v>0.3760446138006935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516835949.73411894</v>
      </c>
    </row>
    <row r="18" spans="1:2" x14ac:dyDescent="0.25">
      <c r="A18" t="s">
        <v>60</v>
      </c>
      <c r="B18" s="18">
        <f>B17*Assumptions!B13</f>
        <v>6825147485.635302</v>
      </c>
    </row>
    <row r="19" spans="1:2" x14ac:dyDescent="0.25">
      <c r="A19" t="s">
        <v>61</v>
      </c>
      <c r="B19" s="18">
        <f>B18/(1+Assumptions!B26)^(5-0.5*Assumptions!B32)</f>
        <v>4467441823.887957</v>
      </c>
    </row>
    <row r="20" spans="1:2" x14ac:dyDescent="0.25">
      <c r="A20" t="s">
        <v>62</v>
      </c>
      <c r="B20" s="18">
        <f>Forecast!B17+B19</f>
        <v>5371737746.094407</v>
      </c>
    </row>
    <row r="21" spans="1:2" x14ac:dyDescent="0.25">
      <c r="A21" t="s">
        <v>63</v>
      </c>
      <c r="B21" s="18">
        <f>-Assumptions!B30</f>
        <v>-2479000000</v>
      </c>
    </row>
    <row r="22" spans="1:2" x14ac:dyDescent="0.25">
      <c r="A22" t="s">
        <v>64</v>
      </c>
      <c r="B22" s="18">
        <f>B20+B21</f>
        <v>2892737746.094407</v>
      </c>
    </row>
    <row r="23" spans="1:2" x14ac:dyDescent="0.25">
      <c r="A23" s="19" t="s">
        <v>65</v>
      </c>
      <c r="B23" s="25">
        <f>B22/Assumptions!B31</f>
        <v>20.701844606357504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129.01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0.3760446138006935</v>
      </c>
    </row>
    <row r="29" spans="1:2" x14ac:dyDescent="0.25">
      <c r="A29" s="19" t="s">
        <v>73</v>
      </c>
      <c r="B29" s="12">
        <f>B28/B26-1</f>
        <v>-0.9970851514316665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0.078755</v>
      </c>
      <c r="B5" s="31">
        <v>4.669833843342483</v>
      </c>
      <c r="C5" s="31">
        <v>4.747205151759992</v>
      </c>
      <c r="D5" s="31">
        <v>4.824576460177498</v>
      </c>
      <c r="E5" s="31">
        <v>4.901947768595008</v>
      </c>
      <c r="F5" s="31">
        <v>4.979319077012514</v>
      </c>
    </row>
    <row r="6" spans="1:6" x14ac:dyDescent="0.25">
      <c r="A6" s="30">
        <v>0.088755</v>
      </c>
      <c r="B6" s="31">
        <v>2.214894350128205</v>
      </c>
      <c r="C6" s="31">
        <v>2.2807559407462157</v>
      </c>
      <c r="D6" s="31">
        <v>2.3466175313642297</v>
      </c>
      <c r="E6" s="31">
        <v>2.4124791219822375</v>
      </c>
      <c r="F6" s="31">
        <v>2.4783407126002484</v>
      </c>
    </row>
    <row r="7" spans="1:6" x14ac:dyDescent="0.25">
      <c r="A7" s="30">
        <v>0.098755</v>
      </c>
      <c r="B7" s="31">
        <v>0.26235661506787933</v>
      </c>
      <c r="C7" s="31">
        <v>0.3191630836018664</v>
      </c>
      <c r="D7" s="32">
        <v>0.3759695521358501</v>
      </c>
      <c r="E7" s="31">
        <v>0.43277602066983034</v>
      </c>
      <c r="F7" s="31">
        <v>0.4895824892038174</v>
      </c>
    </row>
    <row r="8" spans="1:6" x14ac:dyDescent="0.25">
      <c r="A8" s="30">
        <v>0.108755</v>
      </c>
      <c r="B8" s="31">
        <v>-1.3267389504330362</v>
      </c>
      <c r="C8" s="31">
        <v>-1.2772165849608004</v>
      </c>
      <c r="D8" s="31">
        <v>-1.227694219488568</v>
      </c>
      <c r="E8" s="31">
        <v>-1.1781718540163322</v>
      </c>
      <c r="F8" s="31">
        <v>-1.128649488544096</v>
      </c>
    </row>
    <row r="9" spans="1:6" x14ac:dyDescent="0.25">
      <c r="A9" s="30">
        <v>0.118755</v>
      </c>
      <c r="B9" s="31">
        <v>-2.644521044393816</v>
      </c>
      <c r="C9" s="31">
        <v>-2.600964700433004</v>
      </c>
      <c r="D9" s="31">
        <v>-2.5574083564721914</v>
      </c>
      <c r="E9" s="31">
        <v>-2.513852012511379</v>
      </c>
      <c r="F9" s="31">
        <v>-2.4702956685505684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6849000000</v>
      </c>
      <c r="C5" s="18">
        <v>6719000000</v>
      </c>
      <c r="D5" s="18">
        <v>6614000000</v>
      </c>
      <c r="E5" s="18">
        <v>13017000000</v>
      </c>
      <c r="F5" s="8" t="s">
        <v>84</v>
      </c>
    </row>
    <row r="6" spans="1:6" x14ac:dyDescent="0.25">
      <c r="A6" t="s">
        <v>44</v>
      </c>
      <c r="B6" s="18">
        <v>860000000</v>
      </c>
      <c r="C6" s="18">
        <v>747000000</v>
      </c>
      <c r="D6" s="18">
        <v>822000000</v>
      </c>
      <c r="E6" s="18">
        <v>2022000000</v>
      </c>
      <c r="F6" s="8" t="s">
        <v>85</v>
      </c>
    </row>
    <row r="7" spans="1:6" x14ac:dyDescent="0.25">
      <c r="A7" t="s">
        <v>86</v>
      </c>
      <c r="B7" s="18">
        <v>647000000</v>
      </c>
      <c r="C7" s="18">
        <v>635000000</v>
      </c>
      <c r="D7" s="18">
        <v>580000000</v>
      </c>
      <c r="E7" s="18">
        <v>1135000000</v>
      </c>
      <c r="F7" s="8" t="s">
        <v>87</v>
      </c>
    </row>
    <row r="8" spans="1:6" x14ac:dyDescent="0.25">
      <c r="A8" t="s">
        <v>88</v>
      </c>
      <c r="B8" s="18">
        <v>388000000</v>
      </c>
      <c r="C8" s="18">
        <v>605000000</v>
      </c>
      <c r="D8" s="18">
        <v>2063000000</v>
      </c>
      <c r="E8" s="18">
        <v>662000000</v>
      </c>
      <c r="F8" s="8" t="s">
        <v>89</v>
      </c>
    </row>
    <row r="9" spans="1:6" x14ac:dyDescent="0.25">
      <c r="A9" t="s">
        <v>90</v>
      </c>
      <c r="B9" s="18">
        <v>313000000</v>
      </c>
      <c r="C9" s="18">
        <v>-59000000</v>
      </c>
      <c r="D9" s="18">
        <v>207000000</v>
      </c>
      <c r="E9" s="18">
        <v>855000000</v>
      </c>
      <c r="F9" s="8" t="s">
        <v>91</v>
      </c>
    </row>
    <row r="10" spans="1:6" x14ac:dyDescent="0.25">
      <c r="A10" t="s">
        <v>92</v>
      </c>
      <c r="B10" s="18">
        <v>3194000000</v>
      </c>
      <c r="C10" s="18">
        <v>7171000000</v>
      </c>
      <c r="D10" s="18">
        <v>7800000000</v>
      </c>
      <c r="E10" s="18">
        <v>8074000000</v>
      </c>
      <c r="F10" s="8" t="s">
        <v>93</v>
      </c>
    </row>
    <row r="11" spans="1:6" x14ac:dyDescent="0.25">
      <c r="A11" t="s">
        <v>94</v>
      </c>
      <c r="B11" s="18">
        <v>715000000</v>
      </c>
      <c r="C11" s="18">
        <v>1792000000</v>
      </c>
      <c r="D11" s="18">
        <v>2392000000</v>
      </c>
      <c r="E11" s="18">
        <v>4964000000</v>
      </c>
      <c r="F11" s="8" t="s">
        <v>95</v>
      </c>
    </row>
    <row r="12" spans="1:6" x14ac:dyDescent="0.25">
      <c r="A12" t="s">
        <v>32</v>
      </c>
      <c r="B12" s="34">
        <v>139733333</v>
      </c>
      <c r="C12" s="34">
        <v>140199999</v>
      </c>
      <c r="D12" s="34">
        <v>150399999</v>
      </c>
      <c r="E12" s="34">
        <v>166466666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2026-09-19T00:06:59Z</dcterms:modified>
</cp:coreProperties>
</file>