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<sst xmlns="http://schemas.openxmlformats.org/spreadsheetml/2006/main" count="120" uniqueCount="107">
  <si>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DuPont de Nemours, Inc. (DD)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</si>
  <si>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</si>
  <si>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</si>
  <si>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</si>
  <si>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</si>
  <si>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</si>
  <si>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</si>
  <si>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</si>
  <si>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</si>
  <si>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</si>
  <si>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</si>
  <si>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</si>
  <si>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</si>
  <si>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</si>
  <si>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</si>
  <si>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</si>
  <si>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</si>
  <si>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</si>
  <si>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</si>
  <si>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</si>
  <si>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</si>
  <si>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</si>
  <si>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</si>
  <si>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</si>
  <si>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</si>
  <si>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</si>
  <si>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</si>
  <si>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</si>
  <si>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</si>
  <si>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</si>
  <si>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</si>
  <si>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</si>
  <si>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</si>
  <si>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</si>
  <si>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</si>
  <si>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</si>
  <si>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</si>
  <si>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</si>
  <si>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</si>
  <si>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</si>
  <si>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</si>
  <si>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</si>
  <si>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</si>
  <si>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</si>
  <si>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</si>
  <si>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</si>
  <si>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</si>
  <si>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</si>
  <si>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</si>
  <si>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</si>
  <si>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</si>
  <si>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</si>
  <si>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</si>
  <si>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</si>
  <si>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</si>
  <si>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</si>
  <si>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</si>
  <si>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</si>
  <si>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</si>
  <si>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</si>
  <si>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</si>
  <si>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</si>
  <si>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</si>
  <si>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</si>
  <si>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</si>
  <si>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</si>
  <si>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</si>
  <si>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</si>
  <si>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</si>
  <si>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</si>
  <si>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</si>
  <si>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</si>
  <si>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</si>
  <si>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</si>
  <si>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</si>
  <si>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</si>
  <si>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</si>
  <si>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</si>
  <si>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</si>
  <si>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</si>
  <si>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</si>
  <si>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</si>
  <si>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</si>
  <si>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</si>
  <si>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</si>
  <si>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</si>
  <si>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</si>
  <si>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</si>
  <si>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</si>
  <si>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</si>
  <si>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</si>
  <si>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</si>
  <si>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</si>
  <si>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</si>
  <si>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</si>
  <si>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</si>
  <si>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</si>
  <si>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</si>
  <si>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</si>
  <si>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</si>
  <si>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</si>
  <si>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</si>
  <si>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</si>
  <si>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</si>
  <si>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</si>
  <si>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12.7% of revenue against depreciation of 9.1%.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</si>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</sst>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0.04620894583150825</v>
      </c>
    </row>
    <row r="7" spans="1:2" x14ac:dyDescent="0.25">
      <c r="A7" t="s">
        <v>4</v>
      </c>
      <c r="B7" s="5">
        <v>0.12909004792411555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0.09096522487508299</v>
      </c>
    </row>
    <row r="10" spans="1:3" x14ac:dyDescent="0.25">
      <c r="A10" t="s">
        <v>7</v>
      </c>
      <c r="B10" s="5">
        <v>0.12736611521193691</v>
      </c>
      <c r="C10" s="6" t="s">
        <v>8</v>
      </c>
    </row>
    <row r="11" spans="1:2" x14ac:dyDescent="0.25">
      <c r="A11" t="s">
        <v>9</v>
      </c>
      <c r="B11" s="5">
        <v>0.14822612607637892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14.19493699270073</v>
      </c>
    </row>
    <row r="14" spans="1:3" x14ac:dyDescent="0.25">
      <c r="A14" t="s">
        <v>12</v>
      </c>
      <c r="B14" s="5">
        <v>0.0868665743213005</v>
      </c>
      <c r="C14" s="6" t="s">
        <v>13</v>
      </c>
    </row>
    <row r="15" spans="1:3" x14ac:dyDescent="0.25">
      <c r="A15" t="s">
        <v>14</v>
      </c>
      <c r="B15" s="5">
        <v>0.09096522487508299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1.05293</v>
      </c>
      <c r="C19" s="6" t="s">
        <v>21</v>
      </c>
    </row>
    <row r="20" spans="1:2" x14ac:dyDescent="0.25">
      <c r="A20" t="s">
        <v>22</v>
      </c>
      <c r="B20" s="9">
        <f>B17+B19*B18</f>
        <v>0.093478939</v>
      </c>
    </row>
    <row r="21" spans="1:3" x14ac:dyDescent="0.25">
      <c r="A21" t="s">
        <v>23</v>
      </c>
      <c r="B21" s="5">
        <v>0.06039556198745779</v>
      </c>
      <c r="C21" s="6" t="s">
        <v>24</v>
      </c>
    </row>
    <row r="22" spans="1:2" x14ac:dyDescent="0.25">
      <c r="A22" t="s">
        <v>25</v>
      </c>
      <c r="B22" s="10">
        <v>18912770048</v>
      </c>
    </row>
    <row r="23" spans="1:2" x14ac:dyDescent="0.25">
      <c r="A23" t="s">
        <v>26</v>
      </c>
      <c r="B23" s="10">
        <v>3194000000</v>
      </c>
    </row>
    <row r="24" spans="1:2" x14ac:dyDescent="0.25">
      <c r="A24" t="s">
        <v>27</v>
      </c>
      <c r="B24" s="9">
        <f>B22/(B22+B23)</f>
        <v>0.8555193728860014</v>
      </c>
    </row>
    <row r="25" spans="1:2" x14ac:dyDescent="0.25">
      <c r="A25" t="s">
        <v>28</v>
      </c>
      <c r="B25" s="9">
        <f>1-B24</f>
        <v>0.14448062711399856</v>
      </c>
    </row>
    <row r="26" spans="1:2" x14ac:dyDescent="0.25">
      <c r="A26" t="s">
        <v>29</v>
      </c>
      <c r="B26" s="11">
        <f>B24*B20+B25*B21*(1-B8)</f>
        <v>0.0868665743213005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6849000000</v>
      </c>
      <c r="C29" s="6" t="s">
        <v>32</v>
      </c>
    </row>
    <row r="30" spans="1:2" x14ac:dyDescent="0.25">
      <c r="A30" t="s">
        <v>33</v>
      </c>
      <c r="B30" s="10">
        <v>2479000000</v>
      </c>
    </row>
    <row r="31" spans="1:2" x14ac:dyDescent="0.25">
      <c r="A31" t="s">
        <v>34</v>
      </c>
      <c r="B31" s="12">
        <v>139733333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0.04620894583150825</v>
      </c>
      <c r="C5" s="5">
        <v>0.03970293528223068</v>
      </c>
      <c r="D5" s="5">
        <v>0.037865068371951846</v>
      </c>
      <c r="E5" s="5">
        <v>0.03602720146167301</v>
      </c>
      <c r="F5" s="5">
        <v>0.034189334551394175</v>
      </c>
      <c r="G5" s="5">
        <v>0.032351467641115336</v>
      </c>
      <c r="H5" s="5">
        <v>0.030513600730836504</v>
      </c>
      <c r="I5" s="5">
        <v>0.028675733820557672</v>
      </c>
      <c r="J5" s="5">
        <v>0.026837866910278837</v>
      </c>
      <c r="K5" s="5">
        <v>0.025</v>
      </c>
    </row>
    <row r="6" spans="1:11" x14ac:dyDescent="0.25">
      <c r="A6" t="s">
        <v>50</v>
      </c>
      <c r="B6" s="18">
        <f>Assumptions!B29*(1+B5)</f>
        <v>7165485070</v>
      </c>
      <c r="C6" s="18">
        <f>B6*(1+C5)</f>
        <v>7449975860</v>
      </c>
      <c r="D6" s="18">
        <f>C6*(1+D5)</f>
        <v>7732069705.308291</v>
      </c>
      <c r="E6" s="18">
        <f>D6*(1+E5)</f>
        <v>8010634538.297132</v>
      </c>
      <c r="F6" s="18">
        <f>E6*(1+F5)</f>
        <v>8284512802.495925</v>
      </c>
      <c r="G6" s="18">
        <f>F6*(1+G5)</f>
        <v>8552528950.348278</v>
      </c>
      <c r="H6" s="18">
        <f>G6*(1+H5)</f>
        <v>8813497403.978125</v>
      </c>
      <c r="I6" s="18">
        <f>H6*(1+I5)</f>
        <v>9066230909.562777</v>
      </c>
      <c r="J6" s="18">
        <f>I6*(1+J5)</f>
        <v>9309549208.091478</v>
      </c>
      <c r="K6" s="18">
        <f>J6*(1+K5)</f>
        <v>9542287938.293764</v>
      </c>
    </row>
    <row r="7" spans="1:11" x14ac:dyDescent="0.25">
      <c r="A7" t="s">
        <v>4</v>
      </c>
      <c r="B7" s="9">
        <f>Assumptions!B7</f>
        <v>0.12909004792411555</v>
      </c>
      <c r="C7" s="9">
        <f>Assumptions!B7</f>
        <v>0.12909004792411555</v>
      </c>
      <c r="D7" s="9">
        <f>Assumptions!B7</f>
        <v>0.12909004792411555</v>
      </c>
      <c r="E7" s="9">
        <f>Assumptions!B7</f>
        <v>0.12909004792411555</v>
      </c>
      <c r="F7" s="9">
        <f>Assumptions!B7</f>
        <v>0.12909004792411555</v>
      </c>
      <c r="G7" s="9">
        <f>Assumptions!B7</f>
        <v>0.12909004792411555</v>
      </c>
      <c r="H7" s="9">
        <f>Assumptions!B7</f>
        <v>0.12909004792411555</v>
      </c>
      <c r="I7" s="9">
        <f>Assumptions!B7</f>
        <v>0.12909004792411555</v>
      </c>
      <c r="J7" s="9">
        <f>Assumptions!B7</f>
        <v>0.12909004792411555</v>
      </c>
      <c r="K7" s="9">
        <f>Assumptions!B7</f>
        <v>0.12909004792411555</v>
      </c>
    </row>
    <row r="8" spans="1:11" x14ac:dyDescent="0.25">
      <c r="A8" t="s">
        <v>51</v>
      </c>
      <c r="B8" s="18">
        <f>B6*B7</f>
        <v>924992811.0858345</v>
      </c>
      <c r="C8" s="18">
        <f>C6*C7</f>
        <v>961717740.8009039</v>
      </c>
      <c r="D8" s="18">
        <f>D6*D7</f>
        <v>998133248.8108493</v>
      </c>
      <c r="E8" s="18">
        <f>E6*E7</f>
        <v>1034093196.4513519</v>
      </c>
      <c r="F8" s="18">
        <f>F6*F7</f>
        <v>1069448154.7021477</v>
      </c>
      <c r="G8" s="18">
        <f>G6*G7</f>
        <v>1104046372.0728447</v>
      </c>
      <c r="H8" s="18">
        <f>H6*H7</f>
        <v>1137734802.258604</v>
      </c>
      <c r="I8" s="18">
        <f>I6*I7</f>
        <v>1170360182.6065564</v>
      </c>
      <c r="J8" s="18">
        <f>J6*J7</f>
        <v>1201770153.4244409</v>
      </c>
      <c r="K8" s="18">
        <f>K6*K7</f>
        <v>1231814407.2600517</v>
      </c>
    </row>
    <row r="9" spans="1:11" x14ac:dyDescent="0.25">
      <c r="A9" t="s">
        <v>52</v>
      </c>
      <c r="B9" s="18">
        <f>B8*(1-Assumptions!B8)</f>
        <v>730744320.7578093</v>
      </c>
      <c r="C9" s="18">
        <f>C8*(1-Assumptions!B8)</f>
        <v>759757015.2327142</v>
      </c>
      <c r="D9" s="18">
        <f>D8*(1-Assumptions!B8)</f>
        <v>788525266.560571</v>
      </c>
      <c r="E9" s="18">
        <f>E8*(1-Assumptions!B8)</f>
        <v>816933625.196568</v>
      </c>
      <c r="F9" s="18">
        <f>F8*(1-Assumptions!B8)</f>
        <v>844864042.2146968</v>
      </c>
      <c r="G9" s="18">
        <f>G8*(1-Assumptions!B8)</f>
        <v>872196633.9375474</v>
      </c>
      <c r="H9" s="18">
        <f>H8*(1-Assumptions!B8)</f>
        <v>898810493.7842972</v>
      </c>
      <c r="I9" s="18">
        <f>I8*(1-Assumptions!B8)</f>
        <v>924584544.2591796</v>
      </c>
      <c r="J9" s="18">
        <f>J8*(1-Assumptions!B8)</f>
        <v>949398421.2053083</v>
      </c>
      <c r="K9" s="18">
        <f>K8*(1-Assumptions!B8)</f>
        <v>973133381.7354409</v>
      </c>
    </row>
    <row r="10" spans="1:11" x14ac:dyDescent="0.25">
      <c r="A10" t="s">
        <v>53</v>
      </c>
      <c r="B10" s="18">
        <f>B6*Assumptions!B9</f>
        <v>651809960.7315998</v>
      </c>
      <c r="C10" s="18">
        <f>C6*Assumptions!B9</f>
        <v>677688729.4188398</v>
      </c>
      <c r="D10" s="18">
        <f>D6*Assumptions!B9</f>
        <v>703349459.4931854</v>
      </c>
      <c r="E10" s="18">
        <f>E6*Assumptions!B9</f>
        <v>728689172.1683052</v>
      </c>
      <c r="F10" s="18">
        <f>F6*Assumptions!B9</f>
        <v>753602570.0595458</v>
      </c>
      <c r="G10" s="18">
        <f>G6*Assumptions!B9</f>
        <v>777982719.2190886</v>
      </c>
      <c r="H10" s="18">
        <f>H6*Assumptions!B9</f>
        <v>801721773.2888303</v>
      </c>
      <c r="I10" s="18">
        <f>I6*Assumptions!B9</f>
        <v>824711733.4578061</v>
      </c>
      <c r="J10" s="18">
        <f>J6*Assumptions!B9</f>
        <v>846845237.1996921</v>
      </c>
      <c r="K10" s="18">
        <f>K6*Assumptions!B9</f>
        <v>868016368.1296843</v>
      </c>
    </row>
    <row r="11" spans="1:11" x14ac:dyDescent="0.25">
      <c r="A11" t="s">
        <v>54</v>
      </c>
      <c r="B11" s="18">
        <f>-B6*B19</f>
        <v>-912639996.9750339</v>
      </c>
      <c r="C11" s="18">
        <f>-C6*C19</f>
        <v>-943037879.7839173</v>
      </c>
      <c r="D11" s="18">
        <f>-D6*D19</f>
        <v>-972688466.2455287</v>
      </c>
      <c r="E11" s="18">
        <f>-E6*E19</f>
        <v>-1001455863.6048664</v>
      </c>
      <c r="F11" s="18">
        <f>-F6*F19</f>
        <v>-1029204560.1929903</v>
      </c>
      <c r="G11" s="18">
        <f>-G6*G19</f>
        <v>-1055800450.8618318</v>
      </c>
      <c r="H11" s="18">
        <f>-H6*H19</f>
        <v>-1081111883.9700031</v>
      </c>
      <c r="I11" s="18">
        <f>-I6*I19</f>
        <v>-1105010718.9215639</v>
      </c>
      <c r="J11" s="18">
        <f>-J6*J19</f>
        <v>-1127373382.7477603</v>
      </c>
      <c r="K11" s="18">
        <f>-K6*K19</f>
        <v>-1148081913.864236</v>
      </c>
    </row>
    <row r="12" spans="1:11" x14ac:dyDescent="0.25">
      <c r="A12" t="s">
        <v>55</v>
      </c>
      <c r="B12" s="18">
        <f>-(B6-Assumptions!B29)*Assumptions!B11</f>
        <v>-46911355.887111604</v>
      </c>
      <c r="C12" s="18">
        <f>-(C6-B6)*Assumptions!B11</f>
        <v>-42168967.70610864</v>
      </c>
      <c r="D12" s="18">
        <f>-(D6-C6)*Assumptions!B11</f>
        <v>-41813677.88003734</v>
      </c>
      <c r="E12" s="18">
        <f>-(E6-D6)*Assumptions!B11</f>
        <v>-41290586.05504925</v>
      </c>
      <c r="F12" s="18">
        <f>-(F6-E6)*Assumptions!B11</f>
        <v>-40595914.11871017</v>
      </c>
      <c r="G12" s="18">
        <f>-(G6-F6)*Assumptions!B11</f>
        <v>-39726995.322068304</v>
      </c>
      <c r="H12" s="18">
        <f>-(H6-G6)*Assumptions!B11</f>
        <v>-38682342.90969528</v>
      </c>
      <c r="I12" s="18">
        <f>-(I6-H6)*Assumptions!B11</f>
        <v>-37461708.46251583</v>
      </c>
      <c r="J12" s="18">
        <f>-(J6-I6)*Assumptions!B11</f>
        <v>-36066128.794405356</v>
      </c>
      <c r="K12" s="18">
        <f>-(K6-J6)*Assumptions!B11</f>
        <v>-34497960.36582035</v>
      </c>
    </row>
    <row r="13" spans="1:11" x14ac:dyDescent="0.25">
      <c r="A13" s="19" t="s">
        <v>56</v>
      </c>
      <c r="B13" s="20">
        <f>B9+B10+B11+B12</f>
        <v>423002928.6272635</v>
      </c>
      <c r="C13" s="20">
        <f>C9+C10+C11+C12</f>
        <v>452238897.16152817</v>
      </c>
      <c r="D13" s="20">
        <f>D9+D10+D11+D12</f>
        <v>477372581.92819023</v>
      </c>
      <c r="E13" s="20">
        <f>E9+E10+E11+E12</f>
        <v>502876347.70495754</v>
      </c>
      <c r="F13" s="20">
        <f>F9+F10+F11+F12</f>
        <v>528666137.96254194</v>
      </c>
      <c r="G13" s="20">
        <f>G9+G10+G11+G12</f>
        <v>554651906.9727359</v>
      </c>
      <c r="H13" s="20">
        <f>H9+H10+H11+H12</f>
        <v>580738040.1934291</v>
      </c>
      <c r="I13" s="20">
        <f>I9+I10+I11+I12</f>
        <v>606823850.332906</v>
      </c>
      <c r="J13" s="20">
        <f>J9+J10+J11+J12</f>
        <v>632804146.8628348</v>
      </c>
      <c r="K13" s="20">
        <f>K9+K10+K11+K12</f>
        <v>658569875.6350687</v>
      </c>
    </row>
    <row r="14" spans="1:11" x14ac:dyDescent="0.25">
      <c r="A14" t="s">
        <v>57</v>
      </c>
      <c r="B14" s="21">
        <f>1/(1+Assumptions!$B$26)^(1-0.5*Assumptions!$B$32)</f>
        <v>0.9592059934106842</v>
      </c>
      <c r="C14" s="21">
        <f>1/(1+Assumptions!$B$26)^(2-0.5*Assumptions!$B$32)</f>
        <v>0.882542545767097</v>
      </c>
      <c r="D14" s="21">
        <f>1/(1+Assumptions!$B$26)^(3-0.5*Assumptions!$B$32)</f>
        <v>0.8120063369491377</v>
      </c>
      <c r="E14" s="21">
        <f>1/(1+Assumptions!$B$26)^(4-0.5*Assumptions!$B$32)</f>
        <v>0.74710765436521</v>
      </c>
      <c r="F14" s="21">
        <f>1/(1+Assumptions!$B$26)^(5-0.5*Assumptions!$B$32)</f>
        <v>0.6873959251454074</v>
      </c>
      <c r="G14" s="21">
        <f>1/(1+Assumptions!$B$26)^(6-0.5*Assumptions!$B$32)</f>
        <v>0.6324565879437919</v>
      </c>
      <c r="H14" s="21">
        <f>1/(1+Assumptions!$B$26)^(7-0.5*Assumptions!$B$32)</f>
        <v>0.5819082147583136</v>
      </c>
      <c r="I14" s="21">
        <f>1/(1+Assumptions!$B$26)^(8-0.5*Assumptions!$B$32)</f>
        <v>0.5353998627859995</v>
      </c>
      <c r="J14" s="21">
        <f>1/(1+Assumptions!$B$26)^(9-0.5*Assumptions!$B$32)</f>
        <v>0.4926086379281034</v>
      </c>
      <c r="K14" s="21">
        <f>1/(1+Assumptions!$B$26)^(10-0.5*Assumptions!$B$32)</f>
        <v>0.4532374530293338</v>
      </c>
    </row>
    <row r="15" spans="1:11" x14ac:dyDescent="0.25">
      <c r="A15" s="19" t="s">
        <v>58</v>
      </c>
      <c r="B15" s="20">
        <f>B13*B14</f>
        <v>405746944.369543</v>
      </c>
      <c r="C15" s="20">
        <f>C13*C14</f>
        <v>399120067.59583944</v>
      </c>
      <c r="D15" s="20">
        <f>D13*D14</f>
        <v>387629561.6114619</v>
      </c>
      <c r="E15" s="20">
        <f>E13*E14</f>
        <v>375702768.56959456</v>
      </c>
      <c r="F15" s="20">
        <f>F13*F14</f>
        <v>363402948.9978111</v>
      </c>
      <c r="G15" s="20">
        <f>G13*G14</f>
        <v>350793252.580494</v>
      </c>
      <c r="H15" s="20">
        <f>H13*H14</f>
        <v>337936236.21120006</v>
      </c>
      <c r="I15" s="20">
        <f>I13*I14</f>
        <v>324893406.20350975</v>
      </c>
      <c r="J15" s="20">
        <f>J13*J14</f>
        <v>311724788.86135656</v>
      </c>
      <c r="K15" s="20">
        <f>K13*K14</f>
        <v>298488533.07468367</v>
      </c>
    </row>
    <row r="17" spans="1:2" x14ac:dyDescent="0.25">
      <c r="A17" s="22" t="s">
        <v>59</v>
      </c>
      <c r="B17" s="23">
        <f>SUM(B15:K15)</f>
        <v>3555438508.0754943</v>
      </c>
    </row>
    <row r="19" spans="1:11" x14ac:dyDescent="0.25">
      <c r="A19" t="s">
        <v>7</v>
      </c>
      <c r="B19" s="9">
        <f>Assumptions!$B$10+($B$20-Assumptions!$B$10)*0/9</f>
        <v>0.12736611521193691</v>
      </c>
      <c r="C19" s="9">
        <f>Assumptions!$B$10+($B$20-Assumptions!$B$10)*1/9</f>
        <v>0.12658267590465955</v>
      </c>
      <c r="D19" s="9">
        <f>Assumptions!$B$10+($B$20-Assumptions!$B$10)*2/9</f>
        <v>0.12579923659738215</v>
      </c>
      <c r="E19" s="9">
        <f>Assumptions!$B$10+($B$20-Assumptions!$B$10)*3/9</f>
        <v>0.12501579729010479</v>
      </c>
      <c r="F19" s="9">
        <f>Assumptions!$B$10+($B$20-Assumptions!$B$10)*4/9</f>
        <v>0.12423235798282739</v>
      </c>
      <c r="G19" s="9">
        <f>Assumptions!$B$10+($B$20-Assumptions!$B$10)*5/9</f>
        <v>0.12344891867555002</v>
      </c>
      <c r="H19" s="9">
        <f>Assumptions!$B$10+($B$20-Assumptions!$B$10)*6/9</f>
        <v>0.12266547936827264</v>
      </c>
      <c r="I19" s="9">
        <f>Assumptions!$B$10+($B$20-Assumptions!$B$10)*7/9</f>
        <v>0.12188204006099526</v>
      </c>
      <c r="J19" s="9">
        <f>Assumptions!$B$10+($B$20-Assumptions!$B$10)*8/9</f>
        <v>0.12109860075371788</v>
      </c>
      <c r="K19" s="9">
        <f>Assumptions!$B$10+($B$20-Assumptions!$B$10)*9/9</f>
        <v>0.1203151614464405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0.1203151614464405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658569875.6350687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973133381.7354409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0.2877976965861513</v>
      </c>
    </row>
    <row r="7" spans="1:2" x14ac:dyDescent="0.25">
      <c r="A7" t="s">
        <v>66</v>
      </c>
      <c r="B7" s="18">
        <f>-MAX(B5,0)*B6</f>
        <v>-280065545.7345517</v>
      </c>
    </row>
    <row r="8" spans="1:2" x14ac:dyDescent="0.25">
      <c r="A8" t="s">
        <v>67</v>
      </c>
      <c r="B8" s="18">
        <f>IF(OR(Assumptions!$B$33=0,Assumptions!B12&lt;=0),B5,MAX(B5+B7,0))</f>
        <v>693067836.0008891</v>
      </c>
    </row>
    <row r="9" spans="1:2" x14ac:dyDescent="0.25">
      <c r="A9" t="s">
        <v>68</v>
      </c>
      <c r="B9" s="18">
        <f>B8*(1+Assumptions!B12)/(Assumptions!B26-Assumptions!B12)</f>
        <v>11482687375.116617</v>
      </c>
    </row>
    <row r="10" spans="1:2" x14ac:dyDescent="0.25">
      <c r="A10" t="s">
        <v>69</v>
      </c>
      <c r="B10" s="18">
        <f>B9/(1+Assumptions!B26)^(10-0.5*Assumptions!B32)</f>
        <v>5204383979.829943</v>
      </c>
    </row>
    <row r="11" spans="1:2" x14ac:dyDescent="0.25">
      <c r="A11" t="s">
        <v>70</v>
      </c>
      <c r="B11" s="18">
        <f>Forecast!B17+B10</f>
        <v>8759822487.905437</v>
      </c>
    </row>
    <row r="12" spans="1:2" x14ac:dyDescent="0.25">
      <c r="A12" t="s">
        <v>71</v>
      </c>
      <c r="B12" s="18">
        <f>-Assumptions!B30</f>
        <v>-2479000000</v>
      </c>
    </row>
    <row r="13" spans="1:2" x14ac:dyDescent="0.25">
      <c r="A13" t="s">
        <v>72</v>
      </c>
      <c r="B13" s="18">
        <f>B11+B12</f>
        <v>6280822487.905437</v>
      </c>
    </row>
    <row r="14" spans="1:2" x14ac:dyDescent="0.25">
      <c r="A14" s="19" t="s">
        <v>73</v>
      </c>
      <c r="B14" s="24">
        <f>B13/Assumptions!B31</f>
        <v>44.94863432410531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2099830775.3897362</v>
      </c>
    </row>
    <row r="18" spans="1:2" x14ac:dyDescent="0.25">
      <c r="A18" t="s">
        <v>68</v>
      </c>
      <c r="B18" s="18">
        <f>B17*Assumptions!B13</f>
        <v>29806965551.991226</v>
      </c>
    </row>
    <row r="19" spans="1:2" x14ac:dyDescent="0.25">
      <c r="A19" t="s">
        <v>69</v>
      </c>
      <c r="B19" s="18">
        <f>B18/(1+Assumptions!B26)^(10-0.5*Assumptions!B32)</f>
        <v>13509633149.317595</v>
      </c>
    </row>
    <row r="20" spans="1:2" x14ac:dyDescent="0.25">
      <c r="A20" t="s">
        <v>70</v>
      </c>
      <c r="B20" s="18">
        <f>Forecast!B17+B19</f>
        <v>17065071657.39309</v>
      </c>
    </row>
    <row r="21" spans="1:2" x14ac:dyDescent="0.25">
      <c r="A21" t="s">
        <v>71</v>
      </c>
      <c r="B21" s="18">
        <f>-Assumptions!B30</f>
        <v>-2479000000</v>
      </c>
    </row>
    <row r="22" spans="1:2" x14ac:dyDescent="0.25">
      <c r="A22" t="s">
        <v>72</v>
      </c>
      <c r="B22" s="18">
        <f>B20+B21</f>
        <v>14586071657.39309</v>
      </c>
    </row>
    <row r="23" spans="1:2" x14ac:dyDescent="0.25">
      <c r="A23" s="19" t="s">
        <v>73</v>
      </c>
      <c r="B23" s="25">
        <f>B22/Assumptions!B31</f>
        <v>104.38505504905612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140.05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44.94863432410531</v>
      </c>
    </row>
    <row r="29" spans="1:2" x14ac:dyDescent="0.25">
      <c r="A29" s="19" t="s">
        <v>81</v>
      </c>
      <c r="B29" s="11">
        <f>B28/B26-1</f>
        <v>-0.6790529502027468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0.066867</v>
      </c>
      <c r="B5" s="31">
        <v>68.55279991932248</v>
      </c>
      <c r="C5" s="31">
        <v>67.27620160620268</v>
      </c>
      <c r="D5" s="31">
        <v>65.99960329308286</v>
      </c>
      <c r="E5" s="31">
        <v>64.72300497996308</v>
      </c>
      <c r="F5" s="31">
        <v>63.446406666843245</v>
      </c>
    </row>
    <row r="6" spans="1:6" x14ac:dyDescent="0.25">
      <c r="A6" s="30">
        <v>0.076867</v>
      </c>
      <c r="B6" s="31">
        <v>56.16632808930742</v>
      </c>
      <c r="C6" s="31">
        <v>55.11640006686801</v>
      </c>
      <c r="D6" s="31">
        <v>54.06647204442857</v>
      </c>
      <c r="E6" s="31">
        <v>53.01654402198916</v>
      </c>
      <c r="F6" s="31">
        <v>51.96661599954974</v>
      </c>
    </row>
    <row r="7" spans="1:6" x14ac:dyDescent="0.25">
      <c r="A7" s="30">
        <v>0.086867</v>
      </c>
      <c r="B7" s="31">
        <v>46.706557307552806</v>
      </c>
      <c r="C7" s="31">
        <v>45.827424764976485</v>
      </c>
      <c r="D7" s="32">
        <v>44.948292222400134</v>
      </c>
      <c r="E7" s="31">
        <v>44.06915967982378</v>
      </c>
      <c r="F7" s="31">
        <v>43.19002713724741</v>
      </c>
    </row>
    <row r="8" spans="1:6" x14ac:dyDescent="0.25">
      <c r="A8" s="30">
        <v>0.096867</v>
      </c>
      <c r="B8" s="31">
        <v>39.261765760687965</v>
      </c>
      <c r="C8" s="31">
        <v>38.51512372174886</v>
      </c>
      <c r="D8" s="31">
        <v>37.768481682809735</v>
      </c>
      <c r="E8" s="31">
        <v>37.021839643870614</v>
      </c>
      <c r="F8" s="31">
        <v>36.27519760493149</v>
      </c>
    </row>
    <row r="9" spans="1:6" x14ac:dyDescent="0.25">
      <c r="A9" s="30">
        <v>0.106867</v>
      </c>
      <c r="B9" s="31">
        <v>33.26192340823169</v>
      </c>
      <c r="C9" s="31">
        <v>32.62043867304584</v>
      </c>
      <c r="D9" s="31">
        <v>31.978953937860013</v>
      </c>
      <c r="E9" s="31">
        <v>31.337469202674168</v>
      </c>
      <c r="F9" s="31">
        <v>30.695984467488323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6849000000</v>
      </c>
      <c r="C5" s="18">
        <v>6719000000</v>
      </c>
      <c r="D5" s="18">
        <v>6614000000</v>
      </c>
      <c r="E5" s="18">
        <v>13017000000</v>
      </c>
      <c r="F5" s="6" t="s">
        <v>91</v>
      </c>
    </row>
    <row r="6" spans="1:6" x14ac:dyDescent="0.25">
      <c r="A6" t="s">
        <v>51</v>
      </c>
      <c r="B6" s="18">
        <v>860000000</v>
      </c>
      <c r="C6" s="18">
        <v>747000000</v>
      </c>
      <c r="D6" s="18">
        <v>822000000</v>
      </c>
      <c r="E6" s="18">
        <v>2022000000</v>
      </c>
      <c r="F6" s="6" t="s">
        <v>92</v>
      </c>
    </row>
    <row r="7" spans="1:6" x14ac:dyDescent="0.25">
      <c r="A7" t="s">
        <v>93</v>
      </c>
      <c r="B7" s="18">
        <v>647000000</v>
      </c>
      <c r="C7" s="18">
        <v>635000000</v>
      </c>
      <c r="D7" s="18">
        <v>580000000</v>
      </c>
      <c r="E7" s="18">
        <v>1135000000</v>
      </c>
      <c r="F7" s="6" t="s">
        <v>94</v>
      </c>
    </row>
    <row r="8" spans="1:6" x14ac:dyDescent="0.25">
      <c r="A8" t="s">
        <v>95</v>
      </c>
      <c r="B8" s="18">
        <v>388000000</v>
      </c>
      <c r="C8" s="18">
        <v>605000000</v>
      </c>
      <c r="D8" s="18">
        <v>2063000000</v>
      </c>
      <c r="E8" s="18">
        <v>662000000</v>
      </c>
      <c r="F8" s="6" t="s">
        <v>96</v>
      </c>
    </row>
    <row r="9" spans="1:6" x14ac:dyDescent="0.25">
      <c r="A9" t="s">
        <v>97</v>
      </c>
      <c r="B9" s="18">
        <v>313000000</v>
      </c>
      <c r="C9" s="18">
        <v>-59000000</v>
      </c>
      <c r="D9" s="18">
        <v>207000000</v>
      </c>
      <c r="E9" s="18">
        <v>855000000</v>
      </c>
      <c r="F9" s="6" t="s">
        <v>98</v>
      </c>
    </row>
    <row r="10" spans="1:6" x14ac:dyDescent="0.25">
      <c r="A10" t="s">
        <v>99</v>
      </c>
      <c r="B10" s="18">
        <v>3194000000</v>
      </c>
      <c r="C10" s="18">
        <v>7171000000</v>
      </c>
      <c r="D10" s="18">
        <v>7800000000</v>
      </c>
      <c r="E10" s="18">
        <v>8074000000</v>
      </c>
      <c r="F10" s="6" t="s">
        <v>100</v>
      </c>
    </row>
    <row r="11" spans="1:6" x14ac:dyDescent="0.25">
      <c r="A11" t="s">
        <v>101</v>
      </c>
      <c r="B11" s="18">
        <v>715000000</v>
      </c>
      <c r="C11" s="18">
        <v>1792000000</v>
      </c>
      <c r="D11" s="18">
        <v>2392000000</v>
      </c>
      <c r="E11" s="18">
        <v>4964000000</v>
      </c>
      <c r="F11" s="6" t="s">
        <v>102</v>
      </c>
    </row>
    <row r="12" spans="1:6" x14ac:dyDescent="0.25">
      <c r="A12" t="s">
        <v>34</v>
      </c>
      <c r="B12" s="34">
        <v>139733333</v>
      </c>
      <c r="C12" s="34">
        <v>140199999</v>
      </c>
      <c r="D12" s="34">
        <v>150399999</v>
      </c>
      <c r="E12" s="34">
        <v>166466666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