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<sst xmlns="http://schemas.openxmlformats.org/spreadsheetml/2006/main" count="123" uniqueCount="110">
  <si>
    <t>Datadog, Inc. (DDOG)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</si>
  <si>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</si>
  <si>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</si>
  <si>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</si>
  <si>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</si>
  <si>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</si>
  <si>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</si>
  <si>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</si>
  <si>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</si>
  <si>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</si>
  <si>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</si>
  <si>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</si>
  <si>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</si>
  <si>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</si>
  <si>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</si>
  <si>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</si>
  <si>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</si>
  <si>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</si>
  <si>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</si>
  <si>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</si>
  <si>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</si>
  <si>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</si>
  <si>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</si>
  <si>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</si>
  <si>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-4.0x interest cover, capped at 200bp because one year's cover is too noisy to charge more. Book interest / average debt was lower, at 0.7%.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</si>
  <si>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</si>
  <si>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</si>
  <si>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</si>
  <si>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</si>
  <si>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</si>
  <si>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</si>
  <si>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</si>
  <si>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</si>
  <si>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</si>
  <si>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</si>
  <si>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</si>
  <si>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</si>
  <si>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</si>
  <si>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</si>
  <si>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</si>
  <si>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</si>
  <si>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</si>
  <si>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</si>
  <si>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</si>
  <si>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</si>
  <si>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</si>
  <si>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</si>
  <si>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</si>
  <si>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</si>
  <si>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</si>
  <si>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</si>
  <si>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</si>
  <si>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</si>
  <si>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</si>
  <si>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</si>
  <si>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</si>
  <si>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</si>
  <si>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</si>
  <si>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</si>
  <si>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</si>
  <si>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</si>
  <si>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</si>
  <si>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</si>
  <si>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</si>
  <si>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</si>
  <si>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</si>
  <si>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</si>
  <si>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</si>
  <si>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</si>
  <si>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</si>
  <si>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</si>
  <si>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</si>
  <si>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</si>
  <si>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</si>
  <si>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</si>
  <si>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</si>
  <si>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</si>
  <si>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</si>
  <si>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</si>
  <si>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</si>
  <si>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</si>
  <si>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</si>
  <si>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</si>
  <si>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</si>
  <si>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</si>
  <si>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</si>
  <si>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</si>
  <si>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</si>
  <si>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</si>
  <si>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</si>
  <si>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</si>
  <si>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</si>
  <si>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</si>
  <si>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</si>
  <si>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</si>
  <si>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</si>
  <si>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</si>
  <si>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</si>
  <si>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</si>
  <si>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</si>
  <si>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</si>
  <si>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</si>
  <si>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</si>
  <si>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</si>
  <si>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</si>
  <si>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1.3%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</si>
  <si>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</si>
  <si>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3.6% of revenue against depreciation of 2.0%.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</si>
  <si>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7140.8x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</si>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</sst>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0.30554923058697625</v>
      </c>
    </row>
    <row r="7" spans="1:2" x14ac:dyDescent="0.25">
      <c r="A7" t="s">
        <v>4</v>
      </c>
      <c r="B7" s="5">
        <v>-0.010871776972132251</v>
      </c>
    </row>
    <row r="8" spans="1:2" x14ac:dyDescent="0.25">
      <c r="A8" t="s">
        <v>5</v>
      </c>
      <c r="B8" s="5">
        <v>0.15178592516198108</v>
      </c>
    </row>
    <row r="9" spans="1:2" x14ac:dyDescent="0.25">
      <c r="A9" t="s">
        <v>6</v>
      </c>
      <c r="B9" s="5">
        <v>0.019574523795011324</v>
      </c>
    </row>
    <row r="10" spans="1:3" x14ac:dyDescent="0.25">
      <c r="A10" t="s">
        <v>7</v>
      </c>
      <c r="B10" s="5">
        <v>0.0357873382149092</v>
      </c>
      <c r="C10" s="6" t="s">
        <v>8</v>
      </c>
    </row>
    <row r="11" spans="1:2" x14ac:dyDescent="0.25">
      <c r="A11" t="s">
        <v>9</v>
      </c>
      <c r="B11" s="5">
        <v>0.1905292952789813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0.10504553613166474</v>
      </c>
      <c r="C14" s="6" t="s">
        <v>13</v>
      </c>
    </row>
    <row r="15" spans="1:3" x14ac:dyDescent="0.25">
      <c r="A15" t="s">
        <v>14</v>
      </c>
      <c r="B15" s="5">
        <v>0.019574523795011324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1.3430400000000002</v>
      </c>
      <c r="C19" s="6" t="s">
        <v>21</v>
      </c>
    </row>
    <row r="20" spans="1:2" x14ac:dyDescent="0.25">
      <c r="A20" t="s">
        <v>22</v>
      </c>
      <c r="B20" s="9">
        <f>B17+B19*B18</f>
        <v>0.105750592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84479582208</v>
      </c>
    </row>
    <row r="23" spans="1:2" x14ac:dyDescent="0.25">
      <c r="A23" t="s">
        <v>26</v>
      </c>
      <c r="B23" s="10">
        <v>1279005000</v>
      </c>
    </row>
    <row r="24" spans="1:2" x14ac:dyDescent="0.25">
      <c r="A24" t="s">
        <v>27</v>
      </c>
      <c r="B24" s="9">
        <f>B22/(B22+B23)</f>
        <v>0.9850859833208553</v>
      </c>
    </row>
    <row r="25" spans="1:2" x14ac:dyDescent="0.25">
      <c r="A25" t="s">
        <v>28</v>
      </c>
      <c r="B25" s="9">
        <f>1-B24</f>
        <v>0.014914016679144715</v>
      </c>
    </row>
    <row r="26" spans="1:2" x14ac:dyDescent="0.25">
      <c r="A26" t="s">
        <v>29</v>
      </c>
      <c r="B26" s="11">
        <f>B24*B20+B25*B21*(1-B8)</f>
        <v>0.10504553613166474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3427158000</v>
      </c>
      <c r="C29" s="6" t="s">
        <v>32</v>
      </c>
    </row>
    <row r="30" spans="1:2" x14ac:dyDescent="0.25">
      <c r="A30" t="s">
        <v>33</v>
      </c>
      <c r="B30" s="10">
        <v>-3195831000</v>
      </c>
    </row>
    <row r="31" spans="1:2" x14ac:dyDescent="0.25">
      <c r="A31" t="s">
        <v>34</v>
      </c>
      <c r="B31" s="12">
        <v>363472000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0.30554923058697625</v>
      </c>
      <c r="C5" s="5">
        <v>0.2264354046515309</v>
      </c>
      <c r="D5" s="5">
        <v>0.20125597907008952</v>
      </c>
      <c r="E5" s="5">
        <v>0.17607655348864817</v>
      </c>
      <c r="F5" s="5">
        <v>0.1508971279072068</v>
      </c>
      <c r="G5" s="5">
        <v>0.12571770232576546</v>
      </c>
      <c r="H5" s="5">
        <v>0.10053827674432408</v>
      </c>
      <c r="I5" s="5">
        <v>0.07535885116288271</v>
      </c>
      <c r="J5" s="5">
        <v>0.05017942558144137</v>
      </c>
      <c r="K5" s="5">
        <v>0.024999999999999994</v>
      </c>
    </row>
    <row r="6" spans="1:11" x14ac:dyDescent="0.25">
      <c r="A6" t="s">
        <v>50</v>
      </c>
      <c r="B6" s="18">
        <f>Assumptions!B29*(1+B5)</f>
        <v>4474323490</v>
      </c>
      <c r="C6" s="18">
        <f>B6*(1+C5)</f>
        <v>5487468740</v>
      </c>
      <c r="D6" s="18">
        <f>C6*(1+D5)</f>
        <v>6591854633.885211</v>
      </c>
      <c r="E6" s="18">
        <f>D6*(1+E5)</f>
        <v>7752525678.917893</v>
      </c>
      <c r="F6" s="18">
        <f>E6*(1+F5)</f>
        <v>8922359537.893473</v>
      </c>
      <c r="G6" s="18">
        <f>F6*(1+G5)</f>
        <v>10044058078.321817</v>
      </c>
      <c r="H6" s="18">
        <f>G6*(1+H5)</f>
        <v>11053870369.036201</v>
      </c>
      <c r="I6" s="18">
        <f>H6*(1+I5)</f>
        <v>11886877340.9502</v>
      </c>
      <c r="J6" s="18">
        <f>I6*(1+J5)</f>
        <v>12483354017.876131</v>
      </c>
      <c r="K6" s="18">
        <f>J6*(1+K5)</f>
        <v>12795437868.323032</v>
      </c>
    </row>
    <row r="7" spans="1:11" x14ac:dyDescent="0.25">
      <c r="A7" t="s">
        <v>4</v>
      </c>
      <c r="B7" s="9">
        <f>Assumptions!B7</f>
        <v>-0.010871776972132251</v>
      </c>
      <c r="C7" s="9">
        <f>Assumptions!B7</f>
        <v>-0.010871776972132251</v>
      </c>
      <c r="D7" s="9">
        <f>Assumptions!B7</f>
        <v>-0.010871776972132251</v>
      </c>
      <c r="E7" s="9">
        <f>Assumptions!B7</f>
        <v>-0.010871776972132251</v>
      </c>
      <c r="F7" s="9">
        <f>Assumptions!B7</f>
        <v>-0.010871776972132251</v>
      </c>
      <c r="G7" s="9">
        <f>Assumptions!B7</f>
        <v>-0.010871776972132251</v>
      </c>
      <c r="H7" s="9">
        <f>Assumptions!B7</f>
        <v>-0.010871776972132251</v>
      </c>
      <c r="I7" s="9">
        <f>Assumptions!B7</f>
        <v>-0.010871776972132251</v>
      </c>
      <c r="J7" s="9">
        <f>Assumptions!B7</f>
        <v>-0.010871776972132251</v>
      </c>
      <c r="K7" s="9">
        <f>Assumptions!B7</f>
        <v>-0.010871776972132251</v>
      </c>
    </row>
    <row r="8" spans="1:11" x14ac:dyDescent="0.25">
      <c r="A8" t="s">
        <v>51</v>
      </c>
      <c r="B8" s="18">
        <f>B6*B7</f>
        <v>-48643847.084452406</v>
      </c>
      <c r="C8" s="18">
        <f>C6*C7</f>
        <v>-59658536.28282758</v>
      </c>
      <c r="D8" s="18">
        <f>D6*D7</f>
        <v>-71665173.4123165</v>
      </c>
      <c r="E8" s="18">
        <f>E6*E7</f>
        <v>-84283730.1519235</v>
      </c>
      <c r="F8" s="18">
        <f>F6*F7</f>
        <v>-97001902.9611548</v>
      </c>
      <c r="G8" s="18">
        <f>G6*G7</f>
        <v>-109196759.32265805</v>
      </c>
      <c r="H8" s="18">
        <f>H6*H7</f>
        <v>-120175213.3310228</v>
      </c>
      <c r="I8" s="18">
        <f>I6*I7</f>
        <v>-129231479.34590302</v>
      </c>
      <c r="J8" s="18">
        <f>J6*J7</f>
        <v>-135716240.74652034</v>
      </c>
      <c r="K8" s="18">
        <f>K6*K7</f>
        <v>-139109146.76518333</v>
      </c>
    </row>
    <row r="9" spans="1:11" x14ac:dyDescent="0.25">
      <c r="A9" t="s">
        <v>52</v>
      </c>
      <c r="B9" s="18">
        <f>B8*(1-Assumptions!B8)</f>
        <v>-41260395.751300864</v>
      </c>
      <c r="C9" s="18">
        <f>C8*(1-Assumptions!B8)</f>
        <v>-50603210.15932898</v>
      </c>
      <c r="D9" s="18">
        <f>D8*(1-Assumptions!B8)</f>
        <v>-60787408.764034234</v>
      </c>
      <c r="E9" s="18">
        <f>E8*(1-Assumptions!B8)</f>
        <v>-71490646.19471103</v>
      </c>
      <c r="F9" s="18">
        <f>F8*(1-Assumptions!B8)</f>
        <v>-82278379.3777232</v>
      </c>
      <c r="G9" s="18">
        <f>G8*(1-Assumptions!B8)</f>
        <v>-92622228.18417822</v>
      </c>
      <c r="H9" s="18">
        <f>H8*(1-Assumptions!B8)</f>
        <v>-101934307.39403506</v>
      </c>
      <c r="I9" s="18">
        <f>I8*(1-Assumptions!B8)</f>
        <v>-109615959.69333369</v>
      </c>
      <c r="J9" s="18">
        <f>J8*(1-Assumptions!B8)</f>
        <v>-115116425.58530359</v>
      </c>
      <c r="K9" s="18">
        <f>K8*(1-Assumptions!B8)</f>
        <v>-117994336.22493617</v>
      </c>
    </row>
    <row r="10" spans="1:11" x14ac:dyDescent="0.25">
      <c r="A10" t="s">
        <v>53</v>
      </c>
      <c r="B10" s="18">
        <f>B6*Assumptions!B9</f>
        <v>87582751.62158312</v>
      </c>
      <c r="C10" s="18">
        <f>C6*Assumptions!B9</f>
        <v>107414587.42551081</v>
      </c>
      <c r="D10" s="18">
        <f>D6*Assumptions!B9</f>
        <v>129032415.38424172</v>
      </c>
      <c r="E10" s="18">
        <f>E6*Assumptions!B9</f>
        <v>151751998.37341464</v>
      </c>
      <c r="F10" s="18">
        <f>F6*Assumptions!B9</f>
        <v>174650939.08214203</v>
      </c>
      <c r="G10" s="18">
        <f>G6*Assumptions!B9</f>
        <v>196607653.85258612</v>
      </c>
      <c r="H10" s="18">
        <f>H6*Assumptions!B9</f>
        <v>216374248.56566975</v>
      </c>
      <c r="I10" s="18">
        <f>I6*Assumptions!B9</f>
        <v>232679963.3588106</v>
      </c>
      <c r="J10" s="18">
        <f>J6*Assumptions!B9</f>
        <v>244355710.26446655</v>
      </c>
      <c r="K10" s="18">
        <f>K6*Assumptions!B9</f>
        <v>250464603.02107817</v>
      </c>
    </row>
    <row r="11" spans="1:11" x14ac:dyDescent="0.25">
      <c r="A11" t="s">
        <v>54</v>
      </c>
      <c r="B11" s="18">
        <f>-B6*B19</f>
        <v>-160124128.0195429</v>
      </c>
      <c r="C11" s="18">
        <f>-C6*C19</f>
        <v>-186496642.8180538</v>
      </c>
      <c r="D11" s="18">
        <f>-D6*D19</f>
        <v>-212155483.27700546</v>
      </c>
      <c r="E11" s="18">
        <f>-E6*E19</f>
        <v>-235545505.11860704</v>
      </c>
      <c r="F11" s="18">
        <f>-F6*F19</f>
        <v>-255015694.29073793</v>
      </c>
      <c r="G11" s="18">
        <f>-G6*G19</f>
        <v>-268982075.9177007</v>
      </c>
      <c r="H11" s="18">
        <f>-H6*H19</f>
        <v>-276112364.8706004</v>
      </c>
      <c r="I11" s="18">
        <f>-I6*I19</f>
        <v>-275506571.4390139</v>
      </c>
      <c r="J11" s="18">
        <f>-J6*J19</f>
        <v>-266843521.60110125</v>
      </c>
      <c r="K11" s="18">
        <f>-K6*K19</f>
        <v>-250464603.02107817</v>
      </c>
    </row>
    <row r="12" spans="1:11" x14ac:dyDescent="0.25">
      <c r="A12" t="s">
        <v>55</v>
      </c>
      <c r="B12" s="18">
        <f>-(B6-Assumptions!B29)*Assumptions!B11</f>
        <v>-199515702.85016915</v>
      </c>
      <c r="C12" s="18">
        <f>-(C6-B6)*Assumptions!B11</f>
        <v>-193033850.49774733</v>
      </c>
      <c r="D12" s="18">
        <f>-(D6-C6)*Assumptions!B11</f>
        <v>-210417866.07799706</v>
      </c>
      <c r="E12" s="18">
        <f>-(E6-D6)*Assumptions!B11</f>
        <v>-221141836.26079574</v>
      </c>
      <c r="F12" s="18">
        <f>-(F6-E6)*Assumptions!B11</f>
        <v>-222887620.74410832</v>
      </c>
      <c r="G12" s="18">
        <f>-(G6-F6)*Assumptions!B11</f>
        <v>-213716432.42327443</v>
      </c>
      <c r="H12" s="18">
        <f>-(H6-G6)*Assumptions!B11</f>
        <v>-192398824.11386538</v>
      </c>
      <c r="I12" s="18">
        <f>-(I6-H6)*Assumptions!B11</f>
        <v>-158712231.32125214</v>
      </c>
      <c r="J12" s="18">
        <f>-(J6-I6)*Assumptions!B11</f>
        <v>-113646280.90504642</v>
      </c>
      <c r="K12" s="18">
        <f>-(K6-J6)*Assumptions!B11</f>
        <v>-59461116.0935991</v>
      </c>
    </row>
    <row r="13" spans="1:11" x14ac:dyDescent="0.25">
      <c r="A13" s="19" t="s">
        <v>56</v>
      </c>
      <c r="B13" s="20">
        <f>B9+B10+B11+B12</f>
        <v>-313317474.9994298</v>
      </c>
      <c r="C13" s="20">
        <f>C9+C10+C11+C12</f>
        <v>-322719116.0496193</v>
      </c>
      <c r="D13" s="20">
        <f>D9+D10+D11+D12</f>
        <v>-354328342.73479503</v>
      </c>
      <c r="E13" s="20">
        <f>E9+E10+E11+E12</f>
        <v>-376425989.2006992</v>
      </c>
      <c r="F13" s="20">
        <f>F9+F10+F11+F12</f>
        <v>-385530755.3304274</v>
      </c>
      <c r="G13" s="20">
        <f>G9+G10+G11+G12</f>
        <v>-378713082.67256725</v>
      </c>
      <c r="H13" s="20">
        <f>H9+H10+H11+H12</f>
        <v>-354071247.8128311</v>
      </c>
      <c r="I13" s="20">
        <f>I9+I10+I11+I12</f>
        <v>-311154799.09478915</v>
      </c>
      <c r="J13" s="20">
        <f>J9+J10+J11+J12</f>
        <v>-251250517.8269847</v>
      </c>
      <c r="K13" s="20">
        <f>K9+K10+K11+K12</f>
        <v>-177455452.31853527</v>
      </c>
    </row>
    <row r="14" spans="1:11" x14ac:dyDescent="0.25">
      <c r="A14" t="s">
        <v>57</v>
      </c>
      <c r="B14" s="21">
        <f>1/(1+Assumptions!$B$26)^(1-0.5*Assumptions!$B$32)</f>
        <v>0.951283387712006</v>
      </c>
      <c r="C14" s="21">
        <f>1/(1+Assumptions!$B$26)^(2-0.5*Assumptions!$B$32)</f>
        <v>0.8608544685335592</v>
      </c>
      <c r="D14" s="21">
        <f>1/(1+Assumptions!$B$26)^(3-0.5*Assumptions!$B$32)</f>
        <v>0.7790217148399843</v>
      </c>
      <c r="E14" s="21">
        <f>1/(1+Assumptions!$B$26)^(4-0.5*Assumptions!$B$32)</f>
        <v>0.7049679758601051</v>
      </c>
      <c r="F14" s="21">
        <f>1/(1+Assumptions!$B$26)^(5-0.5*Assumptions!$B$32)</f>
        <v>0.6379537791066278</v>
      </c>
      <c r="G14" s="21">
        <f>1/(1+Assumptions!$B$26)^(6-0.5*Assumptions!$B$32)</f>
        <v>0.5773099462849796</v>
      </c>
      <c r="H14" s="21">
        <f>1/(1+Assumptions!$B$26)^(7-0.5*Assumptions!$B$32)</f>
        <v>0.5224309111332348</v>
      </c>
      <c r="I14" s="21">
        <f>1/(1+Assumptions!$B$26)^(8-0.5*Assumptions!$B$32)</f>
        <v>0.4727686724676185</v>
      </c>
      <c r="J14" s="21">
        <f>1/(1+Assumptions!$B$26)^(9-0.5*Assumptions!$B$32)</f>
        <v>0.4278273220509971</v>
      </c>
      <c r="K14" s="21">
        <f>1/(1+Assumptions!$B$26)^(10-0.5*Assumptions!$B$32)</f>
        <v>0.38715809264173356</v>
      </c>
    </row>
    <row r="15" spans="1:11" x14ac:dyDescent="0.25">
      <c r="A15" s="19" t="s">
        <v>58</v>
      </c>
      <c r="B15" s="20">
        <f>B13*B14</f>
        <v>-298053709.04682934</v>
      </c>
      <c r="C15" s="20">
        <f>C13*C14</f>
        <v>-277814193.1325151</v>
      </c>
      <c r="D15" s="20">
        <f>D13*D14</f>
        <v>-276029473.1736697</v>
      </c>
      <c r="E15" s="20">
        <f>E13*E14</f>
        <v>-265368267.66795468</v>
      </c>
      <c r="F15" s="20">
        <f>F13*F14</f>
        <v>-245950802.32487884</v>
      </c>
      <c r="G15" s="20">
        <f>G13*G14</f>
        <v>-218634829.4151188</v>
      </c>
      <c r="H15" s="20">
        <f>H13*H14</f>
        <v>-184977764.60093874</v>
      </c>
      <c r="I15" s="20">
        <f>I13*I14</f>
        <v>-147104241.299972</v>
      </c>
      <c r="J15" s="20">
        <f>J13*J14</f>
        <v>-107491836.20584518</v>
      </c>
      <c r="K15" s="20">
        <f>K13*K14</f>
        <v>-68703314.44852021</v>
      </c>
    </row>
    <row r="17" spans="1:2" x14ac:dyDescent="0.25">
      <c r="A17" s="22" t="s">
        <v>59</v>
      </c>
      <c r="B17" s="23">
        <f>SUM(B15:K15)</f>
        <v>-2090128431.316243</v>
      </c>
    </row>
    <row r="19" spans="1:11" x14ac:dyDescent="0.25">
      <c r="A19" t="s">
        <v>7</v>
      </c>
      <c r="B19" s="9">
        <f>Assumptions!$B$10+($B$20-Assumptions!$B$10)*0/9</f>
        <v>0.0357873382149092</v>
      </c>
      <c r="C19" s="9">
        <f>Assumptions!$B$10+($B$20-Assumptions!$B$10)*1/9</f>
        <v>0.03398591439047611</v>
      </c>
      <c r="D19" s="9">
        <f>Assumptions!$B$10+($B$20-Assumptions!$B$10)*2/9</f>
        <v>0.03218449056604301</v>
      </c>
      <c r="E19" s="9">
        <f>Assumptions!$B$10+($B$20-Assumptions!$B$10)*3/9</f>
        <v>0.030383066741609913</v>
      </c>
      <c r="F19" s="9">
        <f>Assumptions!$B$10+($B$20-Assumptions!$B$10)*4/9</f>
        <v>0.02858164291717681</v>
      </c>
      <c r="G19" s="9">
        <f>Assumptions!$B$10+($B$20-Assumptions!$B$10)*5/9</f>
        <v>0.026780219092743716</v>
      </c>
      <c r="H19" s="9">
        <f>Assumptions!$B$10+($B$20-Assumptions!$B$10)*6/9</f>
        <v>0.02497879526831062</v>
      </c>
      <c r="I19" s="9">
        <f>Assumptions!$B$10+($B$20-Assumptions!$B$10)*7/9</f>
        <v>0.02317737144387752</v>
      </c>
      <c r="J19" s="9">
        <f>Assumptions!$B$10+($B$20-Assumptions!$B$10)*8/9</f>
        <v>0.021375947619444422</v>
      </c>
      <c r="K19" s="9">
        <f>Assumptions!$B$10+($B$20-Assumptions!$B$10)*9/9</f>
        <v>0.019574523795011324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0.019574523795011324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-177455452.31853527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-117994336.22493617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0.2379920263214692</v>
      </c>
    </row>
    <row r="7" spans="1:2" x14ac:dyDescent="0.25">
      <c r="A7" t="s">
        <v>66</v>
      </c>
      <c r="B7" s="18">
        <f>-MAX(B5,0)*B6</f>
        <v>0</v>
      </c>
    </row>
    <row r="8" spans="1:2" x14ac:dyDescent="0.25">
      <c r="A8" t="s">
        <v>67</v>
      </c>
      <c r="B8" s="18">
        <f>IF(OR(Assumptions!$B$33=0,Assumptions!B12&lt;=0),B5,MAX(B5+B7,0))</f>
        <v>0</v>
      </c>
    </row>
    <row r="9" spans="1:2" x14ac:dyDescent="0.25">
      <c r="A9" t="s">
        <v>68</v>
      </c>
      <c r="B9" s="18">
        <f>B8*(1+Assumptions!B12)/(Assumptions!B26-Assumptions!B12)</f>
        <v>0</v>
      </c>
    </row>
    <row r="10" spans="1:2" x14ac:dyDescent="0.25">
      <c r="A10" t="s">
        <v>69</v>
      </c>
      <c r="B10" s="18">
        <f>B9/(1+Assumptions!B26)^(10-0.5*Assumptions!B32)</f>
        <v>0</v>
      </c>
    </row>
    <row r="11" spans="1:2" x14ac:dyDescent="0.25">
      <c r="A11" t="s">
        <v>70</v>
      </c>
      <c r="B11" s="18">
        <f>Forecast!B17+B10</f>
        <v>-2090128431.316243</v>
      </c>
    </row>
    <row r="12" spans="1:2" x14ac:dyDescent="0.25">
      <c r="A12" t="s">
        <v>71</v>
      </c>
      <c r="B12" s="18">
        <f>-Assumptions!B30</f>
        <v>3195831000</v>
      </c>
    </row>
    <row r="13" spans="1:2" x14ac:dyDescent="0.25">
      <c r="A13" t="s">
        <v>72</v>
      </c>
      <c r="B13" s="18">
        <f>B11+B12</f>
        <v>1105702568.683757</v>
      </c>
    </row>
    <row r="14" spans="1:2" x14ac:dyDescent="0.25">
      <c r="A14" s="19" t="s">
        <v>73</v>
      </c>
      <c r="B14" s="24">
        <f>B13/Assumptions!B31</f>
        <v>3.042057073677634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111355456.25589484</v>
      </c>
    </row>
    <row r="18" spans="1:2" x14ac:dyDescent="0.25">
      <c r="A18" t="s">
        <v>68</v>
      </c>
      <c r="B18" s="18">
        <f>B17*Assumptions!B13</f>
        <v>2227109125.117897</v>
      </c>
    </row>
    <row r="19" spans="1:2" x14ac:dyDescent="0.25">
      <c r="A19" t="s">
        <v>69</v>
      </c>
      <c r="B19" s="18">
        <f>B18/(1+Assumptions!B26)^(10-0.5*Assumptions!B32)</f>
        <v>862243320.9856449</v>
      </c>
    </row>
    <row r="20" spans="1:2" x14ac:dyDescent="0.25">
      <c r="A20" t="s">
        <v>70</v>
      </c>
      <c r="B20" s="18">
        <f>Forecast!B17+B19</f>
        <v>-1227885110.3305979</v>
      </c>
    </row>
    <row r="21" spans="1:2" x14ac:dyDescent="0.25">
      <c r="A21" t="s">
        <v>71</v>
      </c>
      <c r="B21" s="18">
        <f>-Assumptions!B30</f>
        <v>3195831000</v>
      </c>
    </row>
    <row r="22" spans="1:2" x14ac:dyDescent="0.25">
      <c r="A22" t="s">
        <v>72</v>
      </c>
      <c r="B22" s="18">
        <f>B20+B21</f>
        <v>1967945889.6694021</v>
      </c>
    </row>
    <row r="23" spans="1:2" x14ac:dyDescent="0.25">
      <c r="A23" s="19" t="s">
        <v>73</v>
      </c>
      <c r="B23" s="25">
        <f>B22/Assumptions!B31</f>
        <v>5.414298459494548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235.27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3.042057073677634</v>
      </c>
    </row>
    <row r="29" spans="1:2" x14ac:dyDescent="0.25">
      <c r="A29" s="19" t="s">
        <v>81</v>
      </c>
      <c r="B29" s="11">
        <f>B28/B26-1</f>
        <v>-0.9870699321049108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0.085046</v>
      </c>
      <c r="B5" s="31">
        <v>2.5990566898011305</v>
      </c>
      <c r="C5" s="31">
        <v>2.5990566898011305</v>
      </c>
      <c r="D5" s="31">
        <v>2.5990566898011305</v>
      </c>
      <c r="E5" s="31">
        <v>2.5990566898011305</v>
      </c>
      <c r="F5" s="31">
        <v>2.5990566898011305</v>
      </c>
    </row>
    <row r="6" spans="1:6" x14ac:dyDescent="0.25">
      <c r="A6" s="30">
        <v>0.095046</v>
      </c>
      <c r="B6" s="31">
        <v>2.827343210952658</v>
      </c>
      <c r="C6" s="31">
        <v>2.827343210952658</v>
      </c>
      <c r="D6" s="31">
        <v>2.827343210952658</v>
      </c>
      <c r="E6" s="31">
        <v>2.827343210952658</v>
      </c>
      <c r="F6" s="31">
        <v>2.827343210952658</v>
      </c>
    </row>
    <row r="7" spans="1:6" x14ac:dyDescent="0.25">
      <c r="A7" s="30">
        <v>0.105046</v>
      </c>
      <c r="B7" s="31">
        <v>3.0420667354017534</v>
      </c>
      <c r="C7" s="31">
        <v>3.0420667354017534</v>
      </c>
      <c r="D7" s="32">
        <v>3.0420667354017534</v>
      </c>
      <c r="E7" s="31">
        <v>3.0420667354017534</v>
      </c>
      <c r="F7" s="31">
        <v>3.0420667354017534</v>
      </c>
    </row>
    <row r="8" spans="1:6" x14ac:dyDescent="0.25">
      <c r="A8" s="30">
        <v>0.115046</v>
      </c>
      <c r="B8" s="31">
        <v>3.244235350769761</v>
      </c>
      <c r="C8" s="31">
        <v>3.244235350769761</v>
      </c>
      <c r="D8" s="31">
        <v>3.244235350769761</v>
      </c>
      <c r="E8" s="31">
        <v>3.244235350769761</v>
      </c>
      <c r="F8" s="31">
        <v>3.244235350769761</v>
      </c>
    </row>
    <row r="9" spans="1:6" x14ac:dyDescent="0.25">
      <c r="A9" s="30">
        <v>0.125046</v>
      </c>
      <c r="B9" s="31">
        <v>3.4347698973598493</v>
      </c>
      <c r="C9" s="31">
        <v>3.4347698973598493</v>
      </c>
      <c r="D9" s="31">
        <v>3.4347698973598493</v>
      </c>
      <c r="E9" s="31">
        <v>3.4347698973598493</v>
      </c>
      <c r="F9" s="31">
        <v>3.4347698973598493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3427158000</v>
      </c>
      <c r="C5" s="18">
        <v>2684275000</v>
      </c>
      <c r="D5" s="18">
        <v>2128359000</v>
      </c>
      <c r="E5" s="18">
        <v>1675100000</v>
      </c>
      <c r="F5" s="6" t="s">
        <v>91</v>
      </c>
    </row>
    <row r="6" spans="1:6" x14ac:dyDescent="0.25">
      <c r="A6" t="s">
        <v>51</v>
      </c>
      <c r="B6" s="18">
        <v>-44373000</v>
      </c>
      <c r="C6" s="18">
        <v>54284000</v>
      </c>
      <c r="D6" s="18">
        <v>-33464000</v>
      </c>
      <c r="E6" s="18">
        <v>-58695000</v>
      </c>
      <c r="F6" s="6" t="s">
        <v>92</v>
      </c>
    </row>
    <row r="7" spans="1:6" x14ac:dyDescent="0.25">
      <c r="A7" t="s">
        <v>93</v>
      </c>
      <c r="B7" s="18">
        <v>55756000</v>
      </c>
      <c r="C7" s="18">
        <v>54933000</v>
      </c>
      <c r="D7" s="18">
        <v>44465000</v>
      </c>
      <c r="E7" s="18">
        <v>34629000</v>
      </c>
      <c r="F7" s="6" t="s">
        <v>94</v>
      </c>
    </row>
    <row r="8" spans="1:6" x14ac:dyDescent="0.25">
      <c r="A8" t="s">
        <v>95</v>
      </c>
      <c r="B8" s="18">
        <v>135418000</v>
      </c>
      <c r="C8" s="18">
        <v>95500000</v>
      </c>
      <c r="D8" s="18">
        <v>62406000</v>
      </c>
      <c r="E8" s="18">
        <v>64889000</v>
      </c>
      <c r="F8" s="6" t="s">
        <v>96</v>
      </c>
    </row>
    <row r="9" spans="1:6" x14ac:dyDescent="0.25">
      <c r="A9" t="s">
        <v>97</v>
      </c>
      <c r="B9" s="18">
        <v>-53492000</v>
      </c>
      <c r="C9" s="18">
        <v>-13343000</v>
      </c>
      <c r="D9" s="18">
        <v>-44626000</v>
      </c>
      <c r="E9" s="18">
        <v>-6393000</v>
      </c>
      <c r="F9" s="6" t="s">
        <v>98</v>
      </c>
    </row>
    <row r="10" spans="1:6" x14ac:dyDescent="0.25">
      <c r="A10" t="s">
        <v>99</v>
      </c>
      <c r="B10" s="18">
        <v>1279005000</v>
      </c>
      <c r="C10" s="18">
        <v>1842180000</v>
      </c>
      <c r="D10" s="18">
        <v>902337000</v>
      </c>
      <c r="E10" s="18">
        <v>837521000</v>
      </c>
      <c r="F10" s="6" t="s">
        <v>100</v>
      </c>
    </row>
    <row r="11" spans="1:6" x14ac:dyDescent="0.25">
      <c r="A11" t="s">
        <v>101</v>
      </c>
      <c r="B11" s="18">
        <v>4474836000</v>
      </c>
      <c r="C11" s="18">
        <v>4189059000</v>
      </c>
      <c r="D11" s="18">
        <v>2582898000</v>
      </c>
      <c r="E11" s="18">
        <v>1884326000</v>
      </c>
      <c r="F11" s="6" t="s">
        <v>102</v>
      </c>
    </row>
    <row r="12" spans="1:6" x14ac:dyDescent="0.25">
      <c r="A12" t="s">
        <v>34</v>
      </c>
      <c r="B12" s="34">
        <v>363472000</v>
      </c>
      <c r="C12" s="34">
        <v>358636000</v>
      </c>
      <c r="D12" s="34">
        <v>350292000</v>
      </c>
      <c r="E12" s="34">
        <v>315410000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19" ht="38" customHeight="1" spans="1:6" x14ac:dyDescent="0.25">
      <c r="A19" s="35" t="s">
        <v>108</v>
      </c>
      <c r="B19" s="35"/>
      <c r="C19" s="35"/>
      <c r="D19" s="35"/>
      <c r="E19" s="35"/>
      <c r="F19" s="35"/>
    </row>
    <row r="21" spans="1:1" x14ac:dyDescent="0.25">
      <c r="A21" s="36" t="s">
        <v>109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