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<sst xmlns="http://schemas.openxmlformats.org/spreadsheetml/2006/main" count="115" uniqueCount="103">
  <si>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Datadog, Inc. (DDOG)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</si>
  <si>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</si>
  <si>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</si>
  <si>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</si>
  <si>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</si>
  <si>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</si>
  <si>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</si>
  <si>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</si>
  <si>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</si>
  <si>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</si>
  <si>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</si>
  <si>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</si>
  <si>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</si>
  <si>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</si>
  <si>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</si>
  <si>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</si>
  <si>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</si>
  <si>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</si>
  <si>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</si>
  <si>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</si>
  <si>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</si>
  <si>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</si>
  <si>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</si>
  <si>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</si>
  <si>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</si>
  <si>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</si>
  <si>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</si>
  <si>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</si>
  <si>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</si>
  <si>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</si>
  <si>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</si>
  <si>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</si>
  <si>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</si>
  <si>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</si>
  <si>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</si>
  <si>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</si>
  <si>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</si>
  <si>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</si>
  <si>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</si>
  <si>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</si>
  <si>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</si>
  <si>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</si>
  <si>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</si>
  <si>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</si>
  <si>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</si>
  <si>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</si>
  <si>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</si>
  <si>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</si>
  <si>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</si>
  <si>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</si>
  <si>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</si>
  <si>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</si>
  <si>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</si>
  <si>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</si>
  <si>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</si>
  <si>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</si>
  <si>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</si>
  <si>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</si>
  <si>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</si>
  <si>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</si>
  <si>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</si>
  <si>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</si>
  <si>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</si>
  <si>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</si>
  <si>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</si>
  <si>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</si>
  <si>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</si>
  <si>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</si>
  <si>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</si>
  <si>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</si>
  <si>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</si>
  <si>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</si>
  <si>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</si>
  <si>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</si>
  <si>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</si>
  <si>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</si>
  <si>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</si>
  <si>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</si>
  <si>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</si>
  <si>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</si>
  <si>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</si>
  <si>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</si>
  <si>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</si>
  <si>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</si>
  <si>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</si>
  <si>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</si>
  <si>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</si>
  <si>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</si>
  <si>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</si>
  <si>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</si>
  <si>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</si>
  <si>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</si>
  <si>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</si>
  <si>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</si>
  <si>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</si>
  <si>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</si>
  <si>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</si>
  <si>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</si>
  <si>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3.5%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</si>
  <si>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</si>
  <si>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3.6% of revenue against depreciation of 2.0%. A perpetuity has to be a steady state, so the terminal year uses maintenance capex at depreciation and then charges the reinvestment terminal growth requires (g/ROIC of NOPAT). The bridge is shown under Terminal Value.</t>
  </si>
  <si>
    <t>Current EV/EBITDA of 6972.0x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</si>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</sst>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0.2694953937625746</v>
      </c>
    </row>
    <row r="7" spans="1:2" x14ac:dyDescent="0.25">
      <c r="A7" t="s">
        <v>5</v>
      </c>
      <c r="B7" s="6">
        <v>-0.010871776972132251</v>
      </c>
    </row>
    <row r="8" spans="1:2" x14ac:dyDescent="0.25">
      <c r="A8" t="s">
        <v>6</v>
      </c>
      <c r="B8" s="6">
        <v>0.15178592516198108</v>
      </c>
    </row>
    <row r="9" spans="1:2" x14ac:dyDescent="0.25">
      <c r="A9" t="s">
        <v>7</v>
      </c>
      <c r="B9" s="6">
        <v>0.019574523795011324</v>
      </c>
    </row>
    <row r="10" spans="1:2" x14ac:dyDescent="0.25">
      <c r="A10" t="s">
        <v>8</v>
      </c>
      <c r="B10" s="6">
        <v>0.0357873382149092</v>
      </c>
    </row>
    <row r="11" spans="1:2" x14ac:dyDescent="0.25">
      <c r="A11" t="s">
        <v>9</v>
      </c>
      <c r="B11" s="6">
        <v>-0.0720059551773294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0.12173365798287923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1.3269600000000001</v>
      </c>
      <c r="C19" s="8" t="s">
        <v>19</v>
      </c>
    </row>
    <row r="20" spans="1:2" x14ac:dyDescent="0.25">
      <c r="A20" t="s">
        <v>20</v>
      </c>
      <c r="B20" s="10">
        <f>B17+B19*B18</f>
        <v>0.12296280000000001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82558525440</v>
      </c>
    </row>
    <row r="23" spans="1:2" x14ac:dyDescent="0.25">
      <c r="A23" t="s">
        <v>24</v>
      </c>
      <c r="B23" s="11">
        <v>1279005000</v>
      </c>
    </row>
    <row r="24" spans="1:2" x14ac:dyDescent="0.25">
      <c r="A24" t="s">
        <v>25</v>
      </c>
      <c r="B24" s="10">
        <f>B22/(B22+B23)</f>
        <v>0.9847442429030594</v>
      </c>
    </row>
    <row r="25" spans="1:2" x14ac:dyDescent="0.25">
      <c r="A25" t="s">
        <v>26</v>
      </c>
      <c r="B25" s="10">
        <f>1-B24</f>
        <v>0.015255757096940603</v>
      </c>
    </row>
    <row r="26" spans="1:2" x14ac:dyDescent="0.25">
      <c r="A26" t="s">
        <v>27</v>
      </c>
      <c r="B26" s="12">
        <f>B24*B20+B25*B21*(1-B8)</f>
        <v>0.12173365798287923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3427158000</v>
      </c>
      <c r="C29" s="8" t="s">
        <v>30</v>
      </c>
    </row>
    <row r="30" spans="1:2" x14ac:dyDescent="0.25">
      <c r="A30" t="s">
        <v>31</v>
      </c>
      <c r="B30" s="11">
        <v>-3195831000</v>
      </c>
    </row>
    <row r="31" spans="1:2" x14ac:dyDescent="0.25">
      <c r="A31" t="s">
        <v>32</v>
      </c>
      <c r="B31" s="13">
        <v>363471000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0.2694953937625746</v>
      </c>
      <c r="C5" s="10">
        <f>Assumptions!B6</f>
        <v>0.2694953937625746</v>
      </c>
      <c r="D5" s="10">
        <f>Assumptions!B6</f>
        <v>0.2694953937625746</v>
      </c>
      <c r="E5" s="10">
        <f>Assumptions!B6</f>
        <v>0.2694953937625746</v>
      </c>
      <c r="F5" s="10">
        <f>Assumptions!B6</f>
        <v>0.2694953937625746</v>
      </c>
    </row>
    <row r="6" spans="1:6" x14ac:dyDescent="0.25">
      <c r="A6" t="s">
        <v>43</v>
      </c>
      <c r="B6" s="18">
        <f>Assumptions!B29*(1+B5)</f>
        <v>4350761294.696558</v>
      </c>
      <c r="C6" s="18">
        <f>B6*(1+C5)</f>
        <v>5523271422.977776</v>
      </c>
      <c r="D6" s="18">
        <f>C6*(1+D5)</f>
        <v>7011767629.970747</v>
      </c>
      <c r="E6" s="18">
        <f>D6*(1+E5)</f>
        <v>8901406708.381388</v>
      </c>
      <c r="F6" s="18">
        <f>E6*(1+F5)</f>
        <v>11300294814.297453</v>
      </c>
    </row>
    <row r="7" spans="1:6" x14ac:dyDescent="0.25">
      <c r="A7" t="s">
        <v>5</v>
      </c>
      <c r="B7" s="10">
        <f>Assumptions!B7</f>
        <v>-0.010871776972132251</v>
      </c>
      <c r="C7" s="10">
        <f>Assumptions!B7</f>
        <v>-0.010871776972132251</v>
      </c>
      <c r="D7" s="10">
        <f>Assumptions!B7</f>
        <v>-0.010871776972132251</v>
      </c>
      <c r="E7" s="10">
        <f>Assumptions!B7</f>
        <v>-0.010871776972132251</v>
      </c>
      <c r="F7" s="10">
        <f>Assumptions!B7</f>
        <v>-0.010871776972132251</v>
      </c>
    </row>
    <row r="8" spans="1:6" x14ac:dyDescent="0.25">
      <c r="A8" t="s">
        <v>44</v>
      </c>
      <c r="B8" s="18">
        <f>B6*B7</f>
        <v>-47300506.454926334</v>
      </c>
      <c r="C8" s="18">
        <f>C6*C7</f>
        <v>-60047775.06716591</v>
      </c>
      <c r="D8" s="18">
        <f>D6*D7</f>
        <v>-76230373.8534583</v>
      </c>
      <c r="E8" s="18">
        <f>E6*E7</f>
        <v>-96774108.47176431</v>
      </c>
      <c r="F8" s="18">
        <f>F6*F7</f>
        <v>-122854284.94038454</v>
      </c>
    </row>
    <row r="9" spans="1:6" x14ac:dyDescent="0.25">
      <c r="A9" t="s">
        <v>45</v>
      </c>
      <c r="B9" s="18">
        <f>B8*(1-Assumptions!B8)</f>
        <v>-40120955.32203508</v>
      </c>
      <c r="C9" s="18">
        <f>C8*(1-Assumptions!B8)</f>
        <v>-50933367.97467759</v>
      </c>
      <c r="D9" s="18">
        <f>D8*(1-Assumptions!B8)</f>
        <v>-64659676.032667436</v>
      </c>
      <c r="E9" s="18">
        <f>E8*(1-Assumptions!B8)</f>
        <v>-82085160.88565165</v>
      </c>
      <c r="F9" s="18">
        <f>F8*(1-Assumptions!B8)</f>
        <v>-104206733.64059463</v>
      </c>
    </row>
    <row r="10" spans="1:6" x14ac:dyDescent="0.25">
      <c r="A10" t="s">
        <v>46</v>
      </c>
      <c r="B10" s="18">
        <f>B6*Assumptions!B9</f>
        <v>85164080.48945205</v>
      </c>
      <c r="C10" s="18">
        <f>C6*Assumptions!B9</f>
        <v>108115407.89538452</v>
      </c>
      <c r="D10" s="18">
        <f>D6*Assumptions!B9</f>
        <v>137252012.31795254</v>
      </c>
      <c r="E10" s="18">
        <f>E6*Assumptions!B9</f>
        <v>174240797.4222849</v>
      </c>
      <c r="F10" s="18">
        <f>F6*Assumptions!B9</f>
        <v>221197889.73310855</v>
      </c>
    </row>
    <row r="11" spans="1:6" x14ac:dyDescent="0.25">
      <c r="A11" t="s">
        <v>47</v>
      </c>
      <c r="B11" s="18">
        <f>-B6*Assumptions!B10</f>
        <v>-155702165.94564196</v>
      </c>
      <c r="C11" s="18">
        <f>-C6*Assumptions!B10</f>
        <v>-197663182.4668485</v>
      </c>
      <c r="D11" s="18">
        <f>-D6*Assumptions!B10</f>
        <v>-250932499.65811545</v>
      </c>
      <c r="E11" s="18">
        <f>-E6*Assumptions!B10</f>
        <v>-318557652.4613064</v>
      </c>
      <c r="F11" s="18">
        <f>-F6*Assumptions!B10</f>
        <v>-404407472.44744754</v>
      </c>
    </row>
    <row r="12" spans="1:6" x14ac:dyDescent="0.25">
      <c r="A12" t="s">
        <v>48</v>
      </c>
      <c r="B12" s="18">
        <f>-(B6-Assumptions!B29)*Assumptions!B11</f>
        <v>66504937.43955411</v>
      </c>
      <c r="C12" s="18">
        <f>-(C6-B6)*Assumptions!B11</f>
        <v>84427711.74198209</v>
      </c>
      <c r="D12" s="18">
        <f>-(D6-C6)*Assumptions!B11</f>
        <v>107180591.16236073</v>
      </c>
      <c r="E12" s="18">
        <f>-(E6-D6)*Assumptions!B11</f>
        <v>136065266.78136662</v>
      </c>
      <c r="F12" s="18">
        <f>-(F6-E6)*Assumptions!B11</f>
        <v>172734229.4300208</v>
      </c>
    </row>
    <row r="13" spans="1:6" x14ac:dyDescent="0.25">
      <c r="A13" s="19" t="s">
        <v>49</v>
      </c>
      <c r="B13" s="20">
        <f>B9+B10+B11+B12</f>
        <v>-44154103.338670895</v>
      </c>
      <c r="C13" s="20">
        <f>C9+C10+C11+C12</f>
        <v>-56053430.80415948</v>
      </c>
      <c r="D13" s="20">
        <f>D9+D10+D11+D12</f>
        <v>-71159572.2104696</v>
      </c>
      <c r="E13" s="20">
        <f>E9+E10+E11+E12</f>
        <v>-90336749.14330652</v>
      </c>
      <c r="F13" s="20">
        <f>F9+F10+F11+F12</f>
        <v>-114682086.92491281</v>
      </c>
    </row>
    <row r="14" spans="1:6" x14ac:dyDescent="0.25">
      <c r="A14" t="s">
        <v>50</v>
      </c>
      <c r="B14" s="21">
        <f>1/(1+Assumptions!$B$26)^(1-0.5*Assumptions!$B$32)</f>
        <v>0.9441807122190395</v>
      </c>
      <c r="C14" s="21">
        <f>1/(1+Assumptions!$B$26)^(2-0.5*Assumptions!$B$32)</f>
        <v>0.8417155939823376</v>
      </c>
      <c r="D14" s="21">
        <f>1/(1+Assumptions!$B$26)^(3-0.5*Assumptions!$B$32)</f>
        <v>0.7503702755036566</v>
      </c>
      <c r="E14" s="21">
        <f>1/(1+Assumptions!$B$26)^(4-0.5*Assumptions!$B$32)</f>
        <v>0.6689380051704836</v>
      </c>
      <c r="F14" s="21">
        <f>1/(1+Assumptions!$B$26)^(5-0.5*Assumptions!$B$32)</f>
        <v>0.596342991413291</v>
      </c>
    </row>
    <row r="15" spans="1:6" x14ac:dyDescent="0.25">
      <c r="A15" s="19" t="s">
        <v>51</v>
      </c>
      <c r="B15" s="20">
        <f>B13*B14</f>
        <v>-41689452.73769936</v>
      </c>
      <c r="C15" s="20">
        <f>C13*C14</f>
        <v>-47181046.80407096</v>
      </c>
      <c r="D15" s="20">
        <f>D13*D14</f>
        <v>-53396027.804292426</v>
      </c>
      <c r="E15" s="20">
        <f>E13*E14</f>
        <v>-60429684.76550986</v>
      </c>
      <c r="F15" s="20">
        <f>F13*F14</f>
        <v>-68389858.77832156</v>
      </c>
    </row>
    <row r="17" spans="1:2" x14ac:dyDescent="0.25">
      <c r="A17" s="22" t="s">
        <v>52</v>
      </c>
      <c r="B17" s="23">
        <f>SUM(B15:F15)</f>
        <v>-271086070.8898941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-114682086.92491281</v>
      </c>
    </row>
    <row r="5" spans="1:2" x14ac:dyDescent="0.25">
      <c r="A5" t="s">
        <v>56</v>
      </c>
      <c r="B5" s="18">
        <f>IF(Assumptions!$B$33=0,B4,B4-Forecast!F11-Forecast!F10-Forecast!F12)</f>
        <v>-104206733.64059463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0.20536637454463114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-271086070.8898941</v>
      </c>
    </row>
    <row r="12" spans="1:2" x14ac:dyDescent="0.25">
      <c r="A12" t="s">
        <v>63</v>
      </c>
      <c r="B12" s="18">
        <f>-Assumptions!B30</f>
        <v>3195831000</v>
      </c>
    </row>
    <row r="13" spans="1:2" x14ac:dyDescent="0.25">
      <c r="A13" t="s">
        <v>64</v>
      </c>
      <c r="B13" s="18">
        <f>B11+B12</f>
        <v>2924744929.110106</v>
      </c>
    </row>
    <row r="14" spans="1:2" x14ac:dyDescent="0.25">
      <c r="A14" s="19" t="s">
        <v>65</v>
      </c>
      <c r="B14" s="24">
        <f>B13/Assumptions!B31</f>
        <v>8.04670779542276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98343604.79272401</v>
      </c>
    </row>
    <row r="18" spans="1:2" x14ac:dyDescent="0.25">
      <c r="A18" t="s">
        <v>60</v>
      </c>
      <c r="B18" s="18">
        <f>B17*Assumptions!B13</f>
        <v>1966872095.8544803</v>
      </c>
    </row>
    <row r="19" spans="1:2" x14ac:dyDescent="0.25">
      <c r="A19" t="s">
        <v>61</v>
      </c>
      <c r="B19" s="18">
        <f>B18/(1+Assumptions!B26)^(5-0.5*Assumptions!B32)</f>
        <v>1172930389.36919</v>
      </c>
    </row>
    <row r="20" spans="1:2" x14ac:dyDescent="0.25">
      <c r="A20" t="s">
        <v>62</v>
      </c>
      <c r="B20" s="18">
        <f>Forecast!B17+B19</f>
        <v>901844318.4792958</v>
      </c>
    </row>
    <row r="21" spans="1:2" x14ac:dyDescent="0.25">
      <c r="A21" t="s">
        <v>63</v>
      </c>
      <c r="B21" s="18">
        <f>-Assumptions!B30</f>
        <v>3195831000</v>
      </c>
    </row>
    <row r="22" spans="1:2" x14ac:dyDescent="0.25">
      <c r="A22" t="s">
        <v>64</v>
      </c>
      <c r="B22" s="18">
        <f>B20+B21</f>
        <v>4097675318.4792957</v>
      </c>
    </row>
    <row r="23" spans="1:2" x14ac:dyDescent="0.25">
      <c r="A23" s="19" t="s">
        <v>65</v>
      </c>
      <c r="B23" s="25">
        <f>B22/Assumptions!B31</f>
        <v>11.27373385628921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229.92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8.04670779542276</v>
      </c>
    </row>
    <row r="29" spans="1:2" x14ac:dyDescent="0.25">
      <c r="A29" s="19" t="s">
        <v>73</v>
      </c>
      <c r="B29" s="12">
        <f>B28/B26-1</f>
        <v>-0.9650021407645147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0.101734</v>
      </c>
      <c r="B5" s="31">
        <v>8.008691936808086</v>
      </c>
      <c r="C5" s="31">
        <v>8.008691936808086</v>
      </c>
      <c r="D5" s="31">
        <v>8.008691936808086</v>
      </c>
      <c r="E5" s="31">
        <v>8.008691936808086</v>
      </c>
      <c r="F5" s="31">
        <v>8.008691936808086</v>
      </c>
    </row>
    <row r="6" spans="1:6" x14ac:dyDescent="0.25">
      <c r="A6" s="30">
        <v>0.111734</v>
      </c>
      <c r="B6" s="31">
        <v>8.028082358016507</v>
      </c>
      <c r="C6" s="31">
        <v>8.028082358016507</v>
      </c>
      <c r="D6" s="31">
        <v>8.028082358016507</v>
      </c>
      <c r="E6" s="31">
        <v>8.028082358016507</v>
      </c>
      <c r="F6" s="31">
        <v>8.028082358016507</v>
      </c>
    </row>
    <row r="7" spans="1:6" x14ac:dyDescent="0.25">
      <c r="A7" s="30">
        <v>0.121734</v>
      </c>
      <c r="B7" s="31">
        <v>8.046708419838383</v>
      </c>
      <c r="C7" s="31">
        <v>8.046708419838383</v>
      </c>
      <c r="D7" s="32">
        <v>8.046708419838383</v>
      </c>
      <c r="E7" s="31">
        <v>8.046708419838383</v>
      </c>
      <c r="F7" s="31">
        <v>8.046708419838383</v>
      </c>
    </row>
    <row r="8" spans="1:6" x14ac:dyDescent="0.25">
      <c r="A8" s="30">
        <v>0.131734</v>
      </c>
      <c r="B8" s="31">
        <v>8.06460841051806</v>
      </c>
      <c r="C8" s="31">
        <v>8.06460841051806</v>
      </c>
      <c r="D8" s="31">
        <v>8.06460841051806</v>
      </c>
      <c r="E8" s="31">
        <v>8.06460841051806</v>
      </c>
      <c r="F8" s="31">
        <v>8.06460841051806</v>
      </c>
    </row>
    <row r="9" spans="1:6" x14ac:dyDescent="0.25">
      <c r="A9" s="30">
        <v>0.141734</v>
      </c>
      <c r="B9" s="31">
        <v>8.081818336861843</v>
      </c>
      <c r="C9" s="31">
        <v>8.081818336861843</v>
      </c>
      <c r="D9" s="31">
        <v>8.081818336861843</v>
      </c>
      <c r="E9" s="31">
        <v>8.081818336861843</v>
      </c>
      <c r="F9" s="31">
        <v>8.081818336861843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3427158000</v>
      </c>
      <c r="C5" s="18">
        <v>2684275000</v>
      </c>
      <c r="D5" s="18">
        <v>2128359000</v>
      </c>
      <c r="E5" s="18">
        <v>1675100000</v>
      </c>
      <c r="F5" s="8" t="s">
        <v>84</v>
      </c>
    </row>
    <row r="6" spans="1:6" x14ac:dyDescent="0.25">
      <c r="A6" t="s">
        <v>44</v>
      </c>
      <c r="B6" s="18">
        <v>-44373000</v>
      </c>
      <c r="C6" s="18">
        <v>54284000</v>
      </c>
      <c r="D6" s="18">
        <v>-33464000</v>
      </c>
      <c r="E6" s="18">
        <v>-58695000</v>
      </c>
      <c r="F6" s="8" t="s">
        <v>85</v>
      </c>
    </row>
    <row r="7" spans="1:6" x14ac:dyDescent="0.25">
      <c r="A7" t="s">
        <v>86</v>
      </c>
      <c r="B7" s="18">
        <v>55756000</v>
      </c>
      <c r="C7" s="18">
        <v>54933000</v>
      </c>
      <c r="D7" s="18">
        <v>44465000</v>
      </c>
      <c r="E7" s="18">
        <v>34629000</v>
      </c>
      <c r="F7" s="8" t="s">
        <v>87</v>
      </c>
    </row>
    <row r="8" spans="1:6" x14ac:dyDescent="0.25">
      <c r="A8" t="s">
        <v>88</v>
      </c>
      <c r="B8" s="18">
        <v>135418000</v>
      </c>
      <c r="C8" s="18">
        <v>95500000</v>
      </c>
      <c r="D8" s="18">
        <v>62406000</v>
      </c>
      <c r="E8" s="18">
        <v>64889000</v>
      </c>
      <c r="F8" s="8" t="s">
        <v>89</v>
      </c>
    </row>
    <row r="9" spans="1:6" x14ac:dyDescent="0.25">
      <c r="A9" t="s">
        <v>90</v>
      </c>
      <c r="B9" s="18">
        <v>-53492000</v>
      </c>
      <c r="C9" s="18">
        <v>-13343000</v>
      </c>
      <c r="D9" s="18">
        <v>-44626000</v>
      </c>
      <c r="E9" s="18">
        <v>-6393000</v>
      </c>
      <c r="F9" s="8" t="s">
        <v>91</v>
      </c>
    </row>
    <row r="10" spans="1:6" x14ac:dyDescent="0.25">
      <c r="A10" t="s">
        <v>92</v>
      </c>
      <c r="B10" s="18">
        <v>1279005000</v>
      </c>
      <c r="C10" s="18">
        <v>1842180000</v>
      </c>
      <c r="D10" s="18">
        <v>902337000</v>
      </c>
      <c r="E10" s="18">
        <v>837521000</v>
      </c>
      <c r="F10" s="8" t="s">
        <v>93</v>
      </c>
    </row>
    <row r="11" spans="1:6" x14ac:dyDescent="0.25">
      <c r="A11" t="s">
        <v>94</v>
      </c>
      <c r="B11" s="18">
        <v>4474836000</v>
      </c>
      <c r="C11" s="18">
        <v>4189059000</v>
      </c>
      <c r="D11" s="18">
        <v>2582898000</v>
      </c>
      <c r="E11" s="18">
        <v>1884326000</v>
      </c>
      <c r="F11" s="8" t="s">
        <v>95</v>
      </c>
    </row>
    <row r="12" spans="1:6" x14ac:dyDescent="0.25">
      <c r="A12" t="s">
        <v>32</v>
      </c>
      <c r="B12" s="34">
        <v>363471000</v>
      </c>
      <c r="C12" s="34">
        <v>358636000</v>
      </c>
      <c r="D12" s="34">
        <v>350292000</v>
      </c>
      <c r="E12" s="34">
        <v>315410000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2026-09-19T00:06:42Z</dcterms:modified>
</cp:coreProperties>
</file>