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<sst xmlns="http://schemas.openxmlformats.org/spreadsheetml/2006/main" count="121" uniqueCount="108">
  <si>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Deere &amp; Company (DE)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</si>
  <si>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</si>
  <si>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</si>
  <si>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</si>
  <si>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</si>
  <si>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</si>
  <si>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</si>
  <si>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</si>
  <si>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</si>
  <si>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</si>
  <si>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</si>
  <si>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</si>
  <si>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</si>
  <si>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</si>
  <si>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</si>
  <si>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</si>
  <si>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</si>
  <si>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</si>
  <si>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</si>
  <si>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</si>
  <si>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</si>
  <si>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</si>
  <si>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</si>
  <si>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</si>
  <si>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2.7x interest cover. Book interest / average debt was lower, at 4.9%.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</si>
  <si>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</si>
  <si>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</si>
  <si>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</si>
  <si>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</si>
  <si>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</si>
  <si>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</si>
  <si>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</si>
  <si>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</si>
  <si>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</si>
  <si>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</si>
  <si>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</si>
  <si>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</si>
  <si>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</si>
  <si>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</si>
  <si>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</si>
  <si>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</si>
  <si>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</si>
  <si>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</si>
  <si>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</si>
  <si>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</si>
  <si>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</si>
  <si>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</si>
  <si>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</si>
  <si>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</si>
  <si>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</si>
  <si>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</si>
  <si>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</si>
  <si>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</si>
  <si>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</si>
  <si>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</si>
  <si>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</si>
  <si>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</si>
  <si>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</si>
  <si>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</si>
  <si>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</si>
  <si>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</si>
  <si>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</si>
  <si>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</si>
  <si>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</si>
  <si>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</si>
  <si>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</si>
  <si>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</si>
  <si>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</si>
  <si>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</si>
  <si>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</si>
  <si>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</si>
  <si>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</si>
  <si>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</si>
  <si>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</si>
  <si>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</si>
  <si>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</si>
  <si>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</si>
  <si>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</si>
  <si>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</si>
  <si>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</si>
  <si>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</si>
  <si>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</si>
  <si>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</si>
  <si>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</si>
  <si>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</si>
  <si>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</si>
  <si>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</si>
  <si>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</si>
  <si>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</si>
  <si>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</si>
  <si>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</si>
  <si>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</si>
  <si>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</si>
  <si>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</si>
  <si>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</si>
  <si>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</si>
  <si>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</si>
  <si>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</si>
  <si>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</si>
  <si>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</si>
  <si>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</si>
  <si>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</si>
  <si>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</si>
  <si>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</si>
  <si>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</si>
  <si>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8.4% of revenue against depreciation of 4.1%.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</si>
  <si>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22.2x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</si>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</sst>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-0.07932149244374787</v>
      </c>
    </row>
    <row r="7" spans="1:2" x14ac:dyDescent="0.25">
      <c r="A7" t="s">
        <v>4</v>
      </c>
      <c r="B7" s="5">
        <v>0.20820275838327434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0.040511387337463886</v>
      </c>
    </row>
    <row r="10" spans="1:3" x14ac:dyDescent="0.25">
      <c r="A10" t="s">
        <v>7</v>
      </c>
      <c r="B10" s="5">
        <v>0.08443542207956548</v>
      </c>
      <c r="C10" s="6" t="s">
        <v>8</v>
      </c>
    </row>
    <row r="11" spans="1:2" x14ac:dyDescent="0.25">
      <c r="A11" t="s">
        <v>9</v>
      </c>
      <c r="B11" s="5">
        <v>0.21144954992551593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0.10071552071897111</v>
      </c>
      <c r="C14" s="6" t="s">
        <v>13</v>
      </c>
    </row>
    <row r="15" spans="1:3" x14ac:dyDescent="0.25">
      <c r="A15" t="s">
        <v>14</v>
      </c>
      <c r="B15" s="5">
        <v>0.040511387337463886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0.9142399999999999</v>
      </c>
      <c r="C19" s="6" t="s">
        <v>21</v>
      </c>
    </row>
    <row r="20" spans="1:2" x14ac:dyDescent="0.25">
      <c r="A20" t="s">
        <v>22</v>
      </c>
      <c r="B20" s="9">
        <f>B17+B19*B18</f>
        <v>0.087612352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182126559232</v>
      </c>
    </row>
    <row r="23" spans="1:2" x14ac:dyDescent="0.25">
      <c r="A23" t="s">
        <v>26</v>
      </c>
      <c r="B23" s="10">
        <v>64250000000</v>
      </c>
    </row>
    <row r="24" spans="1:2" x14ac:dyDescent="0.25">
      <c r="A24" t="s">
        <v>27</v>
      </c>
      <c r="B24" s="9">
        <f>B22/(B22+B23)</f>
        <v>0.7392203211203258</v>
      </c>
    </row>
    <row r="25" spans="1:2" x14ac:dyDescent="0.25">
      <c r="A25" t="s">
        <v>28</v>
      </c>
      <c r="B25" s="9">
        <f>1-B24</f>
        <v>0.26077967887967424</v>
      </c>
    </row>
    <row r="26" spans="1:2" x14ac:dyDescent="0.25">
      <c r="A26" t="s">
        <v>29</v>
      </c>
      <c r="B26" s="11">
        <f>B24*B20+B25*B21*(1-B8)</f>
        <v>0.07713402839629618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44665000000</v>
      </c>
      <c r="C29" s="6" t="s">
        <v>32</v>
      </c>
    </row>
    <row r="30" spans="1:2" x14ac:dyDescent="0.25">
      <c r="A30" t="s">
        <v>33</v>
      </c>
      <c r="B30" s="10">
        <v>54563000000</v>
      </c>
    </row>
    <row r="31" spans="1:2" x14ac:dyDescent="0.25">
      <c r="A31" t="s">
        <v>34</v>
      </c>
      <c r="B31" s="12">
        <v>271700000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-0.07932149244374787</v>
      </c>
      <c r="C5" s="5">
        <v>0.08562347705117057</v>
      </c>
      <c r="D5" s="5">
        <v>0.07804554241977425</v>
      </c>
      <c r="E5" s="5">
        <v>0.07046760778837793</v>
      </c>
      <c r="F5" s="5">
        <v>0.0628896731569816</v>
      </c>
      <c r="G5" s="5">
        <v>0.05531173852558528</v>
      </c>
      <c r="H5" s="5">
        <v>0.047733803894188964</v>
      </c>
      <c r="I5" s="5">
        <v>0.040155869262792646</v>
      </c>
      <c r="J5" s="5">
        <v>0.03257793463139632</v>
      </c>
      <c r="K5" s="5">
        <v>0.025</v>
      </c>
    </row>
    <row r="6" spans="1:11" x14ac:dyDescent="0.25">
      <c r="A6" t="s">
        <v>50</v>
      </c>
      <c r="B6" s="18">
        <f>Assumptions!B29*(1+B5)</f>
        <v>41122105540</v>
      </c>
      <c r="C6" s="18">
        <f>B6*(1+C5)</f>
        <v>44643123200.00001</v>
      </c>
      <c r="D6" s="18">
        <f>C6*(1+D5)</f>
        <v>48127319965.45682</v>
      </c>
      <c r="E6" s="18">
        <f>D6*(1+E5)</f>
        <v>51518737072.6884</v>
      </c>
      <c r="F6" s="18">
        <f>E6*(1+F5)</f>
        <v>54758733608.650246</v>
      </c>
      <c r="G6" s="18">
        <f>F6*(1+G5)</f>
        <v>57787534364.00408</v>
      </c>
      <c r="H6" s="18">
        <f>G6*(1+H5)</f>
        <v>60545953196.86416</v>
      </c>
      <c r="I6" s="18">
        <f>H6*(1+I5)</f>
        <v>62977228577.82859</v>
      </c>
      <c r="J6" s="18">
        <f>I6*(1+J5)</f>
        <v>65028896613.7036</v>
      </c>
      <c r="K6" s="18">
        <f>J6*(1+K5)</f>
        <v>66654619029.04618</v>
      </c>
    </row>
    <row r="7" spans="1:11" x14ac:dyDescent="0.25">
      <c r="A7" t="s">
        <v>4</v>
      </c>
      <c r="B7" s="9">
        <f>Assumptions!B7</f>
        <v>0.20820275838327434</v>
      </c>
      <c r="C7" s="9">
        <f>Assumptions!B7</f>
        <v>0.20820275838327434</v>
      </c>
      <c r="D7" s="9">
        <f>Assumptions!B7</f>
        <v>0.20820275838327434</v>
      </c>
      <c r="E7" s="9">
        <f>Assumptions!B7</f>
        <v>0.20820275838327434</v>
      </c>
      <c r="F7" s="9">
        <f>Assumptions!B7</f>
        <v>0.20820275838327434</v>
      </c>
      <c r="G7" s="9">
        <f>Assumptions!B7</f>
        <v>0.20820275838327434</v>
      </c>
      <c r="H7" s="9">
        <f>Assumptions!B7</f>
        <v>0.20820275838327434</v>
      </c>
      <c r="I7" s="9">
        <f>Assumptions!B7</f>
        <v>0.20820275838327434</v>
      </c>
      <c r="J7" s="9">
        <f>Assumptions!B7</f>
        <v>0.20820275838327434</v>
      </c>
      <c r="K7" s="9">
        <f>Assumptions!B7</f>
        <v>0.20820275838327434</v>
      </c>
    </row>
    <row r="8" spans="1:11" x14ac:dyDescent="0.25">
      <c r="A8" t="s">
        <v>51</v>
      </c>
      <c r="B8" s="18">
        <f>B6*B7</f>
        <v>8561735803.956127</v>
      </c>
      <c r="C8" s="18">
        <f>C6*C7</f>
        <v>9294821393.08435</v>
      </c>
      <c r="D8" s="18">
        <f>D6*D7</f>
        <v>10020240770.402542</v>
      </c>
      <c r="E8" s="18">
        <f>E6*E7</f>
        <v>10726343166.95638</v>
      </c>
      <c r="F8" s="18">
        <f>F6*F7</f>
        <v>11400919382.895891</v>
      </c>
      <c r="G8" s="18">
        <f>G6*G7</f>
        <v>12031524054.753904</v>
      </c>
      <c r="H8" s="18">
        <f>H6*H7</f>
        <v>12605834464.531746</v>
      </c>
      <c r="I8" s="18">
        <f>I6*I7</f>
        <v>13112032705.237886</v>
      </c>
      <c r="J8" s="18">
        <f>J6*J7</f>
        <v>13539195649.593857</v>
      </c>
      <c r="K8" s="18">
        <f>K6*K7</f>
        <v>13877675540.833702</v>
      </c>
    </row>
    <row r="9" spans="1:11" x14ac:dyDescent="0.25">
      <c r="A9" t="s">
        <v>52</v>
      </c>
      <c r="B9" s="18">
        <f>B8*(1-Assumptions!B8)</f>
        <v>6763771285.12534</v>
      </c>
      <c r="C9" s="18">
        <f>C8*(1-Assumptions!B8)</f>
        <v>7342908900.536637</v>
      </c>
      <c r="D9" s="18">
        <f>D8*(1-Assumptions!B8)</f>
        <v>7915990208.618009</v>
      </c>
      <c r="E9" s="18">
        <f>E8*(1-Assumptions!B8)</f>
        <v>8473811101.895541</v>
      </c>
      <c r="F9" s="18">
        <f>F8*(1-Assumptions!B8)</f>
        <v>9006726312.487755</v>
      </c>
      <c r="G9" s="18">
        <f>G8*(1-Assumptions!B8)</f>
        <v>9504904003.255585</v>
      </c>
      <c r="H9" s="18">
        <f>H8*(1-Assumptions!B8)</f>
        <v>9958609226.98008</v>
      </c>
      <c r="I9" s="18">
        <f>I8*(1-Assumptions!B8)</f>
        <v>10358505837.13793</v>
      </c>
      <c r="J9" s="18">
        <f>J8*(1-Assumptions!B8)</f>
        <v>10695964563.179148</v>
      </c>
      <c r="K9" s="18">
        <f>K8*(1-Assumptions!B8)</f>
        <v>10963363677.258625</v>
      </c>
    </row>
    <row r="10" spans="1:11" x14ac:dyDescent="0.25">
      <c r="A10" t="s">
        <v>53</v>
      </c>
      <c r="B10" s="18">
        <f>B6*Assumptions!B9</f>
        <v>1665913545.6630094</v>
      </c>
      <c r="C10" s="18">
        <f>C6*Assumptions!B9</f>
        <v>1808554855.9093206</v>
      </c>
      <c r="D10" s="18">
        <f>D6*Assumptions!B9</f>
        <v>1949704500.6346803</v>
      </c>
      <c r="E10" s="18">
        <f>E6*Assumptions!B9</f>
        <v>2087095512.68864</v>
      </c>
      <c r="F10" s="18">
        <f>F6*Assumptions!B9</f>
        <v>2218352267.3290315</v>
      </c>
      <c r="G10" s="18">
        <f>G6*Assumptions!B9</f>
        <v>2341053187.8971744</v>
      </c>
      <c r="H10" s="18">
        <f>H6*Assumptions!B9</f>
        <v>2452800561.674124</v>
      </c>
      <c r="I10" s="18">
        <f>I6*Assumptions!B9</f>
        <v>2551294900.356414</v>
      </c>
      <c r="J10" s="18">
        <f>J6*Assumptions!B9</f>
        <v>2634410818.84564</v>
      </c>
      <c r="K10" s="18">
        <f>K6*Assumptions!B9</f>
        <v>2700271089.316781</v>
      </c>
    </row>
    <row r="11" spans="1:11" x14ac:dyDescent="0.25">
      <c r="A11" t="s">
        <v>54</v>
      </c>
      <c r="B11" s="18">
        <f>-B6*B19</f>
        <v>-3472162338.070338</v>
      </c>
      <c r="C11" s="18">
        <f>-C6*C19</f>
        <v>-3754103110.128115</v>
      </c>
      <c r="D11" s="18">
        <f>-D6*D19</f>
        <v>-4030537672.474007</v>
      </c>
      <c r="E11" s="18">
        <f>-E6*E19</f>
        <v>-4296836875.66198</v>
      </c>
      <c r="F11" s="18">
        <f>-F6*F19</f>
        <v>-4548225794.912013</v>
      </c>
      <c r="G11" s="18">
        <f>-G6*G19</f>
        <v>-4779916374.803865</v>
      </c>
      <c r="H11" s="18">
        <f>-H6*H19</f>
        <v>-4987251336.125882</v>
      </c>
      <c r="I11" s="18">
        <f>-I6*I19</f>
        <v>-5165853727.491675</v>
      </c>
      <c r="J11" s="18">
        <f>-J6*J19</f>
        <v>-5311775749.626222</v>
      </c>
      <c r="K11" s="18">
        <f>-K6*K19</f>
        <v>-5421640049.878967</v>
      </c>
    </row>
    <row r="12" spans="1:11" x14ac:dyDescent="0.25">
      <c r="A12" t="s">
        <v>55</v>
      </c>
      <c r="B12" s="18">
        <f>-(B6-Assumptions!B29)*Assumptions!B11</f>
        <v>749143439.0006038</v>
      </c>
      <c r="C12" s="18">
        <f>-(C6-B6)*Assumptions!B11</f>
        <v>-744517599.4867948</v>
      </c>
      <c r="D12" s="18">
        <f>-(D6-C6)*Assumptions!B11</f>
        <v>-736731837.9077809</v>
      </c>
      <c r="E12" s="18">
        <f>-(E6-D6)*Assumptions!B11</f>
        <v>-717113620.9338133</v>
      </c>
      <c r="F12" s="18">
        <f>-(F6-E6)*Assumptions!B11</f>
        <v>-685095809.2893629</v>
      </c>
      <c r="G12" s="18">
        <f>-(G6-F6)*Assumptions!B11</f>
        <v>-640438556.5336313</v>
      </c>
      <c r="H12" s="18">
        <f>-(H6-G6)*Assumptions!B11</f>
        <v>-583266420.7143302</v>
      </c>
      <c r="I12" s="18">
        <f>-(I6-H6)*Assumptions!B11</f>
        <v>-514092085.0499164</v>
      </c>
      <c r="J12" s="18">
        <f>-(J6-I6)*Assumptions!B11</f>
        <v>-433824282.7823376</v>
      </c>
      <c r="K12" s="18">
        <f>-(K6-J6)*Assumptions!B11</f>
        <v>-343758273.0280118</v>
      </c>
    </row>
    <row r="13" spans="1:11" x14ac:dyDescent="0.25">
      <c r="A13" s="19" t="s">
        <v>56</v>
      </c>
      <c r="B13" s="20">
        <f>B9+B10+B11+B12</f>
        <v>5706665931.718616</v>
      </c>
      <c r="C13" s="20">
        <f>C9+C10+C11+C12</f>
        <v>4652843046.831048</v>
      </c>
      <c r="D13" s="20">
        <f>D9+D10+D11+D12</f>
        <v>5098425198.870902</v>
      </c>
      <c r="E13" s="20">
        <f>E9+E10+E11+E12</f>
        <v>5546956117.988388</v>
      </c>
      <c r="F13" s="20">
        <f>F9+F10+F11+F12</f>
        <v>5991756975.61541</v>
      </c>
      <c r="G13" s="20">
        <f>G9+G10+G11+G12</f>
        <v>6425602259.815263</v>
      </c>
      <c r="H13" s="20">
        <f>H9+H10+H11+H12</f>
        <v>6840892031.813992</v>
      </c>
      <c r="I13" s="20">
        <f>I9+I10+I11+I12</f>
        <v>7229854924.952751</v>
      </c>
      <c r="J13" s="20">
        <f>J9+J10+J11+J12</f>
        <v>7584775349.616229</v>
      </c>
      <c r="K13" s="20">
        <f>K9+K10+K11+K12</f>
        <v>7898236443.6684265</v>
      </c>
    </row>
    <row r="14" spans="1:11" x14ac:dyDescent="0.25">
      <c r="A14" t="s">
        <v>57</v>
      </c>
      <c r="B14" s="21">
        <f>1/(1+Assumptions!$B$26)^(1-0.5*Assumptions!$B$32)</f>
        <v>0.9635297464855773</v>
      </c>
      <c r="C14" s="21">
        <f>1/(1+Assumptions!$B$26)^(2-0.5*Assumptions!$B$32)</f>
        <v>0.8945309692983519</v>
      </c>
      <c r="D14" s="21">
        <f>1/(1+Assumptions!$B$26)^(3-0.5*Assumptions!$B$32)</f>
        <v>0.8304732240519639</v>
      </c>
      <c r="E14" s="21">
        <f>1/(1+Assumptions!$B$26)^(4-0.5*Assumptions!$B$32)</f>
        <v>0.77100268133616</v>
      </c>
      <c r="F14" s="21">
        <f>1/(1+Assumptions!$B$26)^(5-0.5*Assumptions!$B$32)</f>
        <v>0.7157908496160654</v>
      </c>
      <c r="G14" s="21">
        <f>1/(1+Assumptions!$B$26)^(6-0.5*Assumptions!$B$32)</f>
        <v>0.6645327607760931</v>
      </c>
      <c r="H14" s="21">
        <f>1/(1+Assumptions!$B$26)^(7-0.5*Assumptions!$B$32)</f>
        <v>0.6169452855978291</v>
      </c>
      <c r="I14" s="21">
        <f>1/(1+Assumptions!$B$26)^(8-0.5*Assumptions!$B$32)</f>
        <v>0.5727655698672666</v>
      </c>
      <c r="J14" s="21">
        <f>1/(1+Assumptions!$B$26)^(9-0.5*Assumptions!$B$32)</f>
        <v>0.5317495824730701</v>
      </c>
      <c r="K14" s="21">
        <f>1/(1+Assumptions!$B$26)^(10-0.5*Assumptions!$B$32)</f>
        <v>0.49367076747614386</v>
      </c>
    </row>
    <row r="15" spans="1:11" x14ac:dyDescent="0.25">
      <c r="A15" s="19" t="s">
        <v>58</v>
      </c>
      <c r="B15" s="20">
        <f>B13*B14</f>
        <v>5498542378.466719</v>
      </c>
      <c r="C15" s="20">
        <f>C13*C14</f>
        <v>4162112200.6748743</v>
      </c>
      <c r="D15" s="20">
        <f>D13*D14</f>
        <v>4234105612.4940934</v>
      </c>
      <c r="E15" s="20">
        <f>E13*E14</f>
        <v>4276718040.2230644</v>
      </c>
      <c r="F15" s="20">
        <f>F13*F14</f>
        <v>4288844816.2687407</v>
      </c>
      <c r="G15" s="20">
        <f>G13*G14</f>
        <v>4270023209.3641396</v>
      </c>
      <c r="H15" s="20">
        <f>H13*H14</f>
        <v>4220456088.3113966</v>
      </c>
      <c r="I15" s="20">
        <f>I13*I14</f>
        <v>4141011976.1482263</v>
      </c>
      <c r="J15" s="20">
        <f>J13*J14</f>
        <v>4033201125.3104644</v>
      </c>
      <c r="K15" s="20">
        <f>K13*K14</f>
        <v>3899128446.8538413</v>
      </c>
    </row>
    <row r="17" spans="1:2" x14ac:dyDescent="0.25">
      <c r="A17" s="22" t="s">
        <v>59</v>
      </c>
      <c r="B17" s="23">
        <f>SUM(B15:K15)</f>
        <v>43024143894.11556</v>
      </c>
    </row>
    <row r="19" spans="1:11" x14ac:dyDescent="0.25">
      <c r="A19" t="s">
        <v>7</v>
      </c>
      <c r="B19" s="9">
        <f>Assumptions!$B$10+($B$20-Assumptions!$B$10)*0/9</f>
        <v>0.08443542207956548</v>
      </c>
      <c r="C19" s="9">
        <f>Assumptions!$B$10+($B$20-Assumptions!$B$10)*1/9</f>
        <v>0.0840914085089843</v>
      </c>
      <c r="D19" s="9">
        <f>Assumptions!$B$10+($B$20-Assumptions!$B$10)*2/9</f>
        <v>0.08374739493840315</v>
      </c>
      <c r="E19" s="9">
        <f>Assumptions!$B$10+($B$20-Assumptions!$B$10)*3/9</f>
        <v>0.08340338136782198</v>
      </c>
      <c r="F19" s="9">
        <f>Assumptions!$B$10+($B$20-Assumptions!$B$10)*4/9</f>
        <v>0.08305936779724082</v>
      </c>
      <c r="G19" s="9">
        <f>Assumptions!$B$10+($B$20-Assumptions!$B$10)*5/9</f>
        <v>0.08271535422665965</v>
      </c>
      <c r="H19" s="9">
        <f>Assumptions!$B$10+($B$20-Assumptions!$B$10)*6/9</f>
        <v>0.0823713406560785</v>
      </c>
      <c r="I19" s="9">
        <f>Assumptions!$B$10+($B$20-Assumptions!$B$10)*7/9</f>
        <v>0.08202732708549733</v>
      </c>
      <c r="J19" s="9">
        <f>Assumptions!$B$10+($B$20-Assumptions!$B$10)*8/9</f>
        <v>0.08168331351491617</v>
      </c>
      <c r="K19" s="9">
        <f>Assumptions!$B$10+($B$20-Assumptions!$B$10)*9/9</f>
        <v>0.081339299944335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0.081339299944335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7898236443.6684265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10963363677.258625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0.24822390651941414</v>
      </c>
    </row>
    <row r="7" spans="1:2" x14ac:dyDescent="0.25">
      <c r="A7" t="s">
        <v>66</v>
      </c>
      <c r="B7" s="18">
        <f>-MAX(B5,0)*B6</f>
        <v>-2721368960.5621853</v>
      </c>
    </row>
    <row r="8" spans="1:2" x14ac:dyDescent="0.25">
      <c r="A8" t="s">
        <v>67</v>
      </c>
      <c r="B8" s="18">
        <f>IF(OR(Assumptions!$B$33=0,Assumptions!B12&lt;=0),B5,MAX(B5+B7,0))</f>
        <v>8241994716.69644</v>
      </c>
    </row>
    <row r="9" spans="1:2" x14ac:dyDescent="0.25">
      <c r="A9" t="s">
        <v>68</v>
      </c>
      <c r="B9" s="18">
        <f>B8*(1+Assumptions!B12)/(Assumptions!B26-Assumptions!B12)</f>
        <v>162044730562.4676</v>
      </c>
    </row>
    <row r="10" spans="1:2" x14ac:dyDescent="0.25">
      <c r="A10" t="s">
        <v>69</v>
      </c>
      <c r="B10" s="18">
        <f>B9/(1+Assumptions!B26)^(10-0.5*Assumptions!B32)</f>
        <v>79996746502.23833</v>
      </c>
    </row>
    <row r="11" spans="1:2" x14ac:dyDescent="0.25">
      <c r="A11" t="s">
        <v>70</v>
      </c>
      <c r="B11" s="18">
        <f>Forecast!B17+B10</f>
        <v>123020890396.35388</v>
      </c>
    </row>
    <row r="12" spans="1:2" x14ac:dyDescent="0.25">
      <c r="A12" t="s">
        <v>71</v>
      </c>
      <c r="B12" s="18">
        <f>-Assumptions!B30</f>
        <v>-54563000000</v>
      </c>
    </row>
    <row r="13" spans="1:2" x14ac:dyDescent="0.25">
      <c r="A13" t="s">
        <v>72</v>
      </c>
      <c r="B13" s="18">
        <f>B11+B12</f>
        <v>68457890396.35388</v>
      </c>
    </row>
    <row r="14" spans="1:2" x14ac:dyDescent="0.25">
      <c r="A14" s="19" t="s">
        <v>73</v>
      </c>
      <c r="B14" s="24">
        <f>B13/Assumptions!B31</f>
        <v>251.96131908853104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16577946630.150482</v>
      </c>
    </row>
    <row r="18" spans="1:2" x14ac:dyDescent="0.25">
      <c r="A18" t="s">
        <v>68</v>
      </c>
      <c r="B18" s="18">
        <f>B17*Assumptions!B13</f>
        <v>331558932603.00964</v>
      </c>
    </row>
    <row r="19" spans="1:2" x14ac:dyDescent="0.25">
      <c r="A19" t="s">
        <v>69</v>
      </c>
      <c r="B19" s="18">
        <f>B18/(1+Assumptions!B26)^(10-0.5*Assumptions!B32)</f>
        <v>163680952721.69882</v>
      </c>
    </row>
    <row r="20" spans="1:2" x14ac:dyDescent="0.25">
      <c r="A20" t="s">
        <v>70</v>
      </c>
      <c r="B20" s="18">
        <f>Forecast!B17+B19</f>
        <v>206705096615.8144</v>
      </c>
    </row>
    <row r="21" spans="1:2" x14ac:dyDescent="0.25">
      <c r="A21" t="s">
        <v>71</v>
      </c>
      <c r="B21" s="18">
        <f>-Assumptions!B30</f>
        <v>-54563000000</v>
      </c>
    </row>
    <row r="22" spans="1:2" x14ac:dyDescent="0.25">
      <c r="A22" t="s">
        <v>72</v>
      </c>
      <c r="B22" s="18">
        <f>B20+B21</f>
        <v>152142096615.8144</v>
      </c>
    </row>
    <row r="23" spans="1:2" x14ac:dyDescent="0.25">
      <c r="A23" s="19" t="s">
        <v>73</v>
      </c>
      <c r="B23" s="25">
        <f>B22/Assumptions!B31</f>
        <v>559.9635502974398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675.48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251.96131908853104</v>
      </c>
    </row>
    <row r="29" spans="1:2" x14ac:dyDescent="0.25">
      <c r="A29" s="19" t="s">
        <v>81</v>
      </c>
      <c r="B29" s="11">
        <f>B28/B26-1</f>
        <v>-0.6269892238281947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0.057134</v>
      </c>
      <c r="B5" s="31">
        <v>473.14247078368805</v>
      </c>
      <c r="C5" s="31">
        <v>502.9164645484021</v>
      </c>
      <c r="D5" s="31">
        <v>543.5186417035236</v>
      </c>
      <c r="E5" s="31">
        <v>600.9349516430271</v>
      </c>
      <c r="F5" s="31">
        <v>686.5601712606385</v>
      </c>
    </row>
    <row r="6" spans="1:6" x14ac:dyDescent="0.25">
      <c r="A6" s="30">
        <v>0.067134</v>
      </c>
      <c r="B6" s="31">
        <v>337.1527689535121</v>
      </c>
      <c r="C6" s="31">
        <v>348.1712260690648</v>
      </c>
      <c r="D6" s="31">
        <v>362.9297466432341</v>
      </c>
      <c r="E6" s="31">
        <v>382.9391011795812</v>
      </c>
      <c r="F6" s="31">
        <v>410.65035426491994</v>
      </c>
    </row>
    <row r="7" spans="1:6" x14ac:dyDescent="0.25">
      <c r="A7" s="30">
        <v>0.077134</v>
      </c>
      <c r="B7" s="31">
        <v>245.40899934777707</v>
      </c>
      <c r="C7" s="31">
        <v>248.00665818783622</v>
      </c>
      <c r="D7" s="32">
        <v>251.96157329699778</v>
      </c>
      <c r="E7" s="31">
        <v>257.7056800942065</v>
      </c>
      <c r="F7" s="31">
        <v>265.8759433898459</v>
      </c>
    </row>
    <row r="8" spans="1:6" x14ac:dyDescent="0.25">
      <c r="A8" s="30">
        <v>0.087134</v>
      </c>
      <c r="B8" s="31">
        <v>179.47673902089264</v>
      </c>
      <c r="C8" s="31">
        <v>178.00381697137354</v>
      </c>
      <c r="D8" s="31">
        <v>176.97538100209607</v>
      </c>
      <c r="E8" s="31">
        <v>176.50812679695474</v>
      </c>
      <c r="F8" s="31">
        <v>176.76351763254507</v>
      </c>
    </row>
    <row r="9" spans="1:6" x14ac:dyDescent="0.25">
      <c r="A9" s="30">
        <v>0.097134</v>
      </c>
      <c r="B9" s="31">
        <v>129.9019491943767</v>
      </c>
      <c r="C9" s="31">
        <v>126.40920096372692</v>
      </c>
      <c r="D9" s="31">
        <v>122.98784960430073</v>
      </c>
      <c r="E9" s="31">
        <v>119.65384758531444</v>
      </c>
      <c r="F9" s="31">
        <v>116.42828223587266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44665000000</v>
      </c>
      <c r="C5" s="18">
        <v>50518000000</v>
      </c>
      <c r="D5" s="18">
        <v>60248000000</v>
      </c>
      <c r="E5" s="18">
        <v>51282000000</v>
      </c>
      <c r="F5" s="6" t="s">
        <v>91</v>
      </c>
    </row>
    <row r="6" spans="1:6" x14ac:dyDescent="0.25">
      <c r="A6" t="s">
        <v>51</v>
      </c>
      <c r="B6" s="18">
        <v>8416000000</v>
      </c>
      <c r="C6" s="18">
        <v>11427000000</v>
      </c>
      <c r="D6" s="18">
        <v>14591000000</v>
      </c>
      <c r="E6" s="18">
        <v>9026000000</v>
      </c>
      <c r="F6" s="6" t="s">
        <v>92</v>
      </c>
    </row>
    <row r="7" spans="1:6" x14ac:dyDescent="0.25">
      <c r="A7" t="s">
        <v>93</v>
      </c>
      <c r="B7" s="18">
        <v>2229000000</v>
      </c>
      <c r="C7" s="18">
        <v>2118000000</v>
      </c>
      <c r="D7" s="18">
        <v>2004000000</v>
      </c>
      <c r="E7" s="18">
        <v>1895000000</v>
      </c>
      <c r="F7" s="6" t="s">
        <v>94</v>
      </c>
    </row>
    <row r="8" spans="1:6" x14ac:dyDescent="0.25">
      <c r="A8" t="s">
        <v>95</v>
      </c>
      <c r="B8" s="18">
        <v>4228000000</v>
      </c>
      <c r="C8" s="18">
        <v>4802000000</v>
      </c>
      <c r="D8" s="18">
        <v>4468000000</v>
      </c>
      <c r="E8" s="18">
        <v>3788000000</v>
      </c>
      <c r="F8" s="6" t="s">
        <v>96</v>
      </c>
    </row>
    <row r="9" spans="1:6" x14ac:dyDescent="0.25">
      <c r="A9" t="s">
        <v>97</v>
      </c>
      <c r="B9" s="18">
        <v>443000000</v>
      </c>
      <c r="C9" s="18">
        <v>181000000</v>
      </c>
      <c r="D9" s="18">
        <v>3337000000</v>
      </c>
      <c r="E9" s="18">
        <v>4315000000</v>
      </c>
      <c r="F9" s="6" t="s">
        <v>98</v>
      </c>
    </row>
    <row r="10" spans="1:6" x14ac:dyDescent="0.25">
      <c r="A10" t="s">
        <v>99</v>
      </c>
      <c r="B10" s="18">
        <v>64250000000</v>
      </c>
      <c r="C10" s="18">
        <v>65463000000</v>
      </c>
      <c r="D10" s="18">
        <v>63692000000</v>
      </c>
      <c r="E10" s="18">
        <v>52201000000</v>
      </c>
      <c r="F10" s="6" t="s">
        <v>100</v>
      </c>
    </row>
    <row r="11" spans="1:6" x14ac:dyDescent="0.25">
      <c r="A11" t="s">
        <v>101</v>
      </c>
      <c r="B11" s="18">
        <v>9687000000</v>
      </c>
      <c r="C11" s="18">
        <v>8478000000</v>
      </c>
      <c r="D11" s="18">
        <v>8404000000</v>
      </c>
      <c r="E11" s="18">
        <v>5508000000</v>
      </c>
      <c r="F11" s="6" t="s">
        <v>102</v>
      </c>
    </row>
    <row r="12" spans="1:6" x14ac:dyDescent="0.25">
      <c r="A12" t="s">
        <v>34</v>
      </c>
      <c r="B12" s="34">
        <v>271700000</v>
      </c>
      <c r="C12" s="34">
        <v>277100000</v>
      </c>
      <c r="D12" s="34">
        <v>293600000</v>
      </c>
      <c r="E12" s="34">
        <v>306300000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