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<sst xmlns="http://schemas.openxmlformats.org/spreadsheetml/2006/main" count="114" uniqueCount="102">
  <si>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Deere &amp; Company (DE)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</si>
  <si>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</si>
  <si>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</si>
  <si>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</si>
  <si>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</si>
  <si>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</si>
  <si>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</si>
  <si>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</si>
  <si>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</si>
  <si>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</si>
  <si>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</si>
  <si>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</si>
  <si>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</si>
  <si>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</si>
  <si>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</si>
  <si>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</si>
  <si>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</si>
  <si>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</si>
  <si>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</si>
  <si>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</si>
  <si>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</si>
  <si>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</si>
  <si>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</si>
  <si>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</si>
  <si>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</si>
  <si>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</si>
  <si>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</si>
  <si>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</si>
  <si>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</si>
  <si>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</si>
  <si>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</si>
  <si>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</si>
  <si>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</si>
  <si>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</si>
  <si>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</si>
  <si>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</si>
  <si>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</si>
  <si>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</si>
  <si>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</si>
  <si>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</si>
  <si>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</si>
  <si>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</si>
  <si>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</si>
  <si>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</si>
  <si>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</si>
  <si>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</si>
  <si>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</si>
  <si>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</si>
  <si>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</si>
  <si>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</si>
  <si>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</si>
  <si>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</si>
  <si>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</si>
  <si>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</si>
  <si>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</si>
  <si>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</si>
  <si>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</si>
  <si>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</si>
  <si>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</si>
  <si>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</si>
  <si>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</si>
  <si>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</si>
  <si>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</si>
  <si>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</si>
  <si>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</si>
  <si>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</si>
  <si>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</si>
  <si>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</si>
  <si>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</si>
  <si>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</si>
  <si>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</si>
  <si>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</si>
  <si>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</si>
  <si>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</si>
  <si>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</si>
  <si>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</si>
  <si>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</si>
  <si>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</si>
  <si>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</si>
  <si>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</si>
  <si>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</si>
  <si>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</si>
  <si>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</si>
  <si>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</si>
  <si>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</si>
  <si>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</si>
  <si>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</si>
  <si>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</si>
  <si>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</si>
  <si>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</si>
  <si>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</si>
  <si>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</si>
  <si>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</si>
  <si>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</si>
  <si>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</si>
  <si>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</si>
  <si>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</si>
  <si>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</si>
  <si>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</si>
  <si>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8.4%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</si>
  <si>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Current EV/EBITDA of 22.5x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</si>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</sst>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-0.0450056665565175</v>
      </c>
    </row>
    <row r="7" spans="1:2" x14ac:dyDescent="0.25">
      <c r="A7" t="s">
        <v>5</v>
      </c>
      <c r="B7" s="6">
        <v>0.20820275838327434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0.040511387337463886</v>
      </c>
    </row>
    <row r="10" spans="1:2" x14ac:dyDescent="0.25">
      <c r="A10" t="s">
        <v>8</v>
      </c>
      <c r="B10" s="6">
        <v>0.08443542207956548</v>
      </c>
    </row>
    <row r="11" spans="1:2" x14ac:dyDescent="0.25">
      <c r="A11" t="s">
        <v>9</v>
      </c>
      <c r="B11" s="6">
        <v>-0.018602261048304213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0.10071552071897111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0.94037</v>
      </c>
      <c r="C19" s="8" t="s">
        <v>19</v>
      </c>
    </row>
    <row r="20" spans="1:2" x14ac:dyDescent="0.25">
      <c r="A20" t="s">
        <v>20</v>
      </c>
      <c r="B20" s="10">
        <f>B17+B19*B18</f>
        <v>0.10170035000000001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184421072896</v>
      </c>
    </row>
    <row r="23" spans="1:2" x14ac:dyDescent="0.25">
      <c r="A23" t="s">
        <v>24</v>
      </c>
      <c r="B23" s="11">
        <v>64250000000</v>
      </c>
    </row>
    <row r="24" spans="1:2" x14ac:dyDescent="0.25">
      <c r="A24" t="s">
        <v>25</v>
      </c>
      <c r="B24" s="10">
        <f>B22/(B22+B23)</f>
        <v>0.7416265621419069</v>
      </c>
    </row>
    <row r="25" spans="1:2" x14ac:dyDescent="0.25">
      <c r="A25" t="s">
        <v>26</v>
      </c>
      <c r="B25" s="10">
        <f>1-B24</f>
        <v>0.2583734378580931</v>
      </c>
    </row>
    <row r="26" spans="1:2" x14ac:dyDescent="0.25">
      <c r="A26" t="s">
        <v>27</v>
      </c>
      <c r="B26" s="12">
        <f>B24*B20+B25*B21*(1-B8)</f>
        <v>0.0856253494342052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44665000000</v>
      </c>
      <c r="C29" s="8" t="s">
        <v>30</v>
      </c>
    </row>
    <row r="30" spans="1:2" x14ac:dyDescent="0.25">
      <c r="A30" t="s">
        <v>31</v>
      </c>
      <c r="B30" s="11">
        <v>54563000000</v>
      </c>
    </row>
    <row r="31" spans="1:2" x14ac:dyDescent="0.25">
      <c r="A31" t="s">
        <v>32</v>
      </c>
      <c r="B31" s="13">
        <v>271700000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-0.0450056665565175</v>
      </c>
      <c r="C5" s="10">
        <f>Assumptions!B6</f>
        <v>-0.0450056665565175</v>
      </c>
      <c r="D5" s="10">
        <f>Assumptions!B6</f>
        <v>-0.0450056665565175</v>
      </c>
      <c r="E5" s="10">
        <f>Assumptions!B6</f>
        <v>-0.0450056665565175</v>
      </c>
      <c r="F5" s="10">
        <f>Assumptions!B6</f>
        <v>-0.0450056665565175</v>
      </c>
    </row>
    <row r="6" spans="1:6" x14ac:dyDescent="0.25">
      <c r="A6" t="s">
        <v>43</v>
      </c>
      <c r="B6" s="18">
        <f>Assumptions!B29*(1+B5)</f>
        <v>42654821903.25314</v>
      </c>
      <c r="C6" s="18">
        <f>B6*(1+C5)</f>
        <v>40735113211.64769</v>
      </c>
      <c r="D6" s="18">
        <f>C6*(1+D5)</f>
        <v>38901802289.302284</v>
      </c>
      <c r="E6" s="18">
        <f>D6*(1+E5)</f>
        <v>37151000747.02238</v>
      </c>
      <c r="F6" s="18">
        <f>E6*(1+F5)</f>
        <v>35478995195.16096</v>
      </c>
    </row>
    <row r="7" spans="1:6" x14ac:dyDescent="0.25">
      <c r="A7" t="s">
        <v>5</v>
      </c>
      <c r="B7" s="10">
        <f>Assumptions!B7</f>
        <v>0.20820275838327434</v>
      </c>
      <c r="C7" s="10">
        <f>Assumptions!B7</f>
        <v>0.20820275838327434</v>
      </c>
      <c r="D7" s="10">
        <f>Assumptions!B7</f>
        <v>0.20820275838327434</v>
      </c>
      <c r="E7" s="10">
        <f>Assumptions!B7</f>
        <v>0.20820275838327434</v>
      </c>
      <c r="F7" s="10">
        <f>Assumptions!B7</f>
        <v>0.20820275838327434</v>
      </c>
    </row>
    <row r="8" spans="1:6" x14ac:dyDescent="0.25">
      <c r="A8" t="s">
        <v>44</v>
      </c>
      <c r="B8" s="18">
        <f>B6*B7</f>
        <v>8880851578.604612</v>
      </c>
      <c r="C8" s="18">
        <f>C6*C7</f>
        <v>8481162933.720011</v>
      </c>
      <c r="D8" s="18">
        <f>D6*D7</f>
        <v>8099462542.713512</v>
      </c>
      <c r="E8" s="18">
        <f>E6*E7</f>
        <v>7734940832.229145</v>
      </c>
      <c r="F8" s="18">
        <f>F6*F7</f>
        <v>7386824664.299448</v>
      </c>
    </row>
    <row r="9" spans="1:6" x14ac:dyDescent="0.25">
      <c r="A9" t="s">
        <v>45</v>
      </c>
      <c r="B9" s="18">
        <f>B8*(1-Assumptions!B8)</f>
        <v>7015872747.097644</v>
      </c>
      <c r="C9" s="18">
        <f>C8*(1-Assumptions!B8)</f>
        <v>6700118717.638809</v>
      </c>
      <c r="D9" s="18">
        <f>D8*(1-Assumptions!B8)</f>
        <v>6398575408.743675</v>
      </c>
      <c r="E9" s="18">
        <f>E8*(1-Assumptions!B8)</f>
        <v>6110603257.461025</v>
      </c>
      <c r="F9" s="18">
        <f>F8*(1-Assumptions!B8)</f>
        <v>5835591484.796564</v>
      </c>
    </row>
    <row r="10" spans="1:6" x14ac:dyDescent="0.25">
      <c r="A10" t="s">
        <v>46</v>
      </c>
      <c r="B10" s="18">
        <f>B6*Assumptions!B9</f>
        <v>1728006011.9332266</v>
      </c>
      <c r="C10" s="18">
        <f>C6*Assumptions!B9</f>
        <v>1650235949.5525022</v>
      </c>
      <c r="D10" s="18">
        <f>D6*Assumptions!B9</f>
        <v>1575965980.6673641</v>
      </c>
      <c r="E10" s="18">
        <f>E6*Assumptions!B9</f>
        <v>1505038581.2370336</v>
      </c>
      <c r="F10" s="18">
        <f>F6*Assumptions!B9</f>
        <v>1437303316.6951857</v>
      </c>
    </row>
    <row r="11" spans="1:6" x14ac:dyDescent="0.25">
      <c r="A11" t="s">
        <v>47</v>
      </c>
      <c r="B11" s="18">
        <f>-B6*Assumptions!B10</f>
        <v>-3601577891.1298733</v>
      </c>
      <c r="C11" s="18">
        <f>-C6*Assumptions!B10</f>
        <v>-3439486477.484357</v>
      </c>
      <c r="D11" s="18">
        <f>-D6*Assumptions!B10</f>
        <v>-3284690095.953045</v>
      </c>
      <c r="E11" s="18">
        <f>-E6*Assumptions!B10</f>
        <v>-3136860428.7530866</v>
      </c>
      <c r="F11" s="18">
        <f>-F6*Assumptions!B10</f>
        <v>-2995683934.262291</v>
      </c>
    </row>
    <row r="12" spans="1:6" x14ac:dyDescent="0.25">
      <c r="A12" t="s">
        <v>48</v>
      </c>
      <c r="B12" s="18">
        <f>-(B6-Assumptions!B29)*Assumptions!B11</f>
        <v>-37393857.709268354</v>
      </c>
      <c r="C12" s="18">
        <f>-(C6-B6)*Assumptions!B11</f>
        <v>-35710922.21794317</v>
      </c>
      <c r="D12" s="18">
        <f>-(D6-C6)*Assumptions!B11</f>
        <v>-34103728.36017661</v>
      </c>
      <c r="E12" s="18">
        <f>-(E6-D6)*Assumptions!B11</f>
        <v>-32568867.33326446</v>
      </c>
      <c r="F12" s="18">
        <f>-(F6-E6)*Assumptions!B11</f>
        <v>-31103083.74994008</v>
      </c>
    </row>
    <row r="13" spans="1:6" x14ac:dyDescent="0.25">
      <c r="A13" s="19" t="s">
        <v>49</v>
      </c>
      <c r="B13" s="20">
        <f>B9+B10+B11+B12</f>
        <v>5104907010.191729</v>
      </c>
      <c r="C13" s="20">
        <f>C9+C10+C11+C12</f>
        <v>4875157267.489011</v>
      </c>
      <c r="D13" s="20">
        <f>D9+D10+D11+D12</f>
        <v>4655747565.097817</v>
      </c>
      <c r="E13" s="20">
        <f>E9+E10+E11+E12</f>
        <v>4446212542.611709</v>
      </c>
      <c r="F13" s="20">
        <f>F9+F10+F11+F12</f>
        <v>4246107783.479519</v>
      </c>
    </row>
    <row r="14" spans="1:6" x14ac:dyDescent="0.25">
      <c r="A14" t="s">
        <v>50</v>
      </c>
      <c r="B14" s="21">
        <f>1/(1+Assumptions!$B$26)^(1-0.5*Assumptions!$B$32)</f>
        <v>0.9597541798717598</v>
      </c>
      <c r="C14" s="21">
        <f>1/(1+Assumptions!$B$26)^(2-0.5*Assumptions!$B$32)</f>
        <v>0.8840565305258895</v>
      </c>
      <c r="D14" s="21">
        <f>1/(1+Assumptions!$B$26)^(3-0.5*Assumptions!$B$32)</f>
        <v>0.8143292996857828</v>
      </c>
      <c r="E14" s="21">
        <f>1/(1+Assumptions!$B$26)^(4-0.5*Assumptions!$B$32)</f>
        <v>0.7501015890152034</v>
      </c>
      <c r="F14" s="21">
        <f>1/(1+Assumptions!$B$26)^(5-0.5*Assumptions!$B$32)</f>
        <v>0.6909396408310965</v>
      </c>
    </row>
    <row r="15" spans="1:6" x14ac:dyDescent="0.25">
      <c r="A15" s="19" t="s">
        <v>51</v>
      </c>
      <c r="B15" s="20">
        <f>B13*B14</f>
        <v>4899455840.88816</v>
      </c>
      <c r="C15" s="20">
        <f>C13*C14</f>
        <v>4309914619.664411</v>
      </c>
      <c r="D15" s="20">
        <f>D13*D14</f>
        <v>3791311654.1998944</v>
      </c>
      <c r="E15" s="20">
        <f>E13*E14</f>
        <v>3335111093.3123703</v>
      </c>
      <c r="F15" s="20">
        <f>F13*F14</f>
        <v>2933804186.847462</v>
      </c>
    </row>
    <row r="17" spans="1:2" x14ac:dyDescent="0.25">
      <c r="A17" s="22" t="s">
        <v>52</v>
      </c>
      <c r="B17" s="23">
        <f>SUM(B15:F15)</f>
        <v>19269597394.912296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4246107783.479519</v>
      </c>
    </row>
    <row r="5" spans="1:2" x14ac:dyDescent="0.25">
      <c r="A5" t="s">
        <v>56</v>
      </c>
      <c r="B5" s="18">
        <f>IF(Assumptions!$B$33=0,B4,B4-Forecast!F11-Forecast!F10-Forecast!F12)</f>
        <v>5835591484.796564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0.24822390651941414</v>
      </c>
    </row>
    <row r="7" spans="1:2" x14ac:dyDescent="0.25">
      <c r="A7" t="s">
        <v>58</v>
      </c>
      <c r="B7" s="18">
        <f>-MAX(Forecast!F9,0)*B6</f>
        <v>-1448533315.2076316</v>
      </c>
    </row>
    <row r="8" spans="1:2" x14ac:dyDescent="0.25">
      <c r="A8" t="s">
        <v>59</v>
      </c>
      <c r="B8" s="18">
        <f>IF(OR(Assumptions!$B$33=0,Assumptions!B12&lt;=0),B5,MAX(B5+B7,0))</f>
        <v>4387058169.588932</v>
      </c>
    </row>
    <row r="9" spans="1:2" x14ac:dyDescent="0.25">
      <c r="A9" t="s">
        <v>60</v>
      </c>
      <c r="B9" s="18">
        <f>B8*(1+Assumptions!B12)/(Assumptions!B26-Assumptions!B12)</f>
        <v>74172514728.49358</v>
      </c>
    </row>
    <row r="10" spans="1:2" x14ac:dyDescent="0.25">
      <c r="A10" t="s">
        <v>61</v>
      </c>
      <c r="B10" s="18">
        <f>B9/(1+Assumptions!B26)^(5-0.5*Assumptions!B32)</f>
        <v>51248730686.04456</v>
      </c>
    </row>
    <row r="11" spans="1:2" x14ac:dyDescent="0.25">
      <c r="A11" t="s">
        <v>62</v>
      </c>
      <c r="B11" s="18">
        <f>Forecast!B17+B10</f>
        <v>70518328080.95686</v>
      </c>
    </row>
    <row r="12" spans="1:2" x14ac:dyDescent="0.25">
      <c r="A12" t="s">
        <v>63</v>
      </c>
      <c r="B12" s="18">
        <f>-Assumptions!B30</f>
        <v>-54563000000</v>
      </c>
    </row>
    <row r="13" spans="1:2" x14ac:dyDescent="0.25">
      <c r="A13" t="s">
        <v>64</v>
      </c>
      <c r="B13" s="18">
        <f>B11+B12</f>
        <v>15955328080.956863</v>
      </c>
    </row>
    <row r="14" spans="1:2" x14ac:dyDescent="0.25">
      <c r="A14" s="19" t="s">
        <v>65</v>
      </c>
      <c r="B14" s="24">
        <f>B13/Assumptions!B31</f>
        <v>58.724063603080104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8824127980.994633</v>
      </c>
    </row>
    <row r="18" spans="1:2" x14ac:dyDescent="0.25">
      <c r="A18" t="s">
        <v>60</v>
      </c>
      <c r="B18" s="18">
        <f>B17*Assumptions!B13</f>
        <v>176482559619.89264</v>
      </c>
    </row>
    <row r="19" spans="1:2" x14ac:dyDescent="0.25">
      <c r="A19" t="s">
        <v>61</v>
      </c>
      <c r="B19" s="18">
        <f>B18/(1+Assumptions!B26)^(5-0.5*Assumptions!B32)</f>
        <v>121938796356.72119</v>
      </c>
    </row>
    <row r="20" spans="1:2" x14ac:dyDescent="0.25">
      <c r="A20" t="s">
        <v>62</v>
      </c>
      <c r="B20" s="18">
        <f>Forecast!B17+B19</f>
        <v>141208393751.63348</v>
      </c>
    </row>
    <row r="21" spans="1:2" x14ac:dyDescent="0.25">
      <c r="A21" t="s">
        <v>63</v>
      </c>
      <c r="B21" s="18">
        <f>-Assumptions!B30</f>
        <v>-54563000000</v>
      </c>
    </row>
    <row r="22" spans="1:2" x14ac:dyDescent="0.25">
      <c r="A22" t="s">
        <v>64</v>
      </c>
      <c r="B22" s="18">
        <f>B20+B21</f>
        <v>86645393751.63348</v>
      </c>
    </row>
    <row r="23" spans="1:2" x14ac:dyDescent="0.25">
      <c r="A23" s="19" t="s">
        <v>65</v>
      </c>
      <c r="B23" s="25">
        <f>B22/Assumptions!B31</f>
        <v>318.9009707457986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683.99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58.724063603080104</v>
      </c>
    </row>
    <row r="29" spans="1:2" x14ac:dyDescent="0.25">
      <c r="A29" s="19" t="s">
        <v>73</v>
      </c>
      <c r="B29" s="12">
        <f>B28/B26-1</f>
        <v>-0.9141448506512082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0.065625</v>
      </c>
      <c r="B5" s="31">
        <v>148.47163732936227</v>
      </c>
      <c r="C5" s="31">
        <v>162.24073769381846</v>
      </c>
      <c r="D5" s="31">
        <v>179.20197833725408</v>
      </c>
      <c r="E5" s="31">
        <v>200.69941832450257</v>
      </c>
      <c r="F5" s="31">
        <v>228.95486957906425</v>
      </c>
    </row>
    <row r="6" spans="1:6" x14ac:dyDescent="0.25">
      <c r="A6" s="30">
        <v>0.075625</v>
      </c>
      <c r="B6" s="31">
        <v>92.04096681381854</v>
      </c>
      <c r="C6" s="31">
        <v>98.9557492213518</v>
      </c>
      <c r="D6" s="31">
        <v>107.08469912182575</v>
      </c>
      <c r="E6" s="31">
        <v>116.82699486908386</v>
      </c>
      <c r="F6" s="31">
        <v>128.77833339116955</v>
      </c>
    </row>
    <row r="7" spans="1:6" x14ac:dyDescent="0.25">
      <c r="A7" s="30">
        <v>0.085625</v>
      </c>
      <c r="B7" s="31">
        <v>51.6141622303818</v>
      </c>
      <c r="C7" s="31">
        <v>54.95504355237661</v>
      </c>
      <c r="D7" s="32">
        <v>58.72547526388995</v>
      </c>
      <c r="E7" s="31">
        <v>63.04129117782581</v>
      </c>
      <c r="F7" s="31">
        <v>68.06408661342044</v>
      </c>
    </row>
    <row r="8" spans="1:6" x14ac:dyDescent="0.25">
      <c r="A8" s="30">
        <v>0.095625</v>
      </c>
      <c r="B8" s="31">
        <v>21.23447414519966</v>
      </c>
      <c r="C8" s="31">
        <v>22.58809122596019</v>
      </c>
      <c r="D8" s="31">
        <v>24.03327145388174</v>
      </c>
      <c r="E8" s="31">
        <v>25.59094354831537</v>
      </c>
      <c r="F8" s="31">
        <v>27.288940548398127</v>
      </c>
    </row>
    <row r="9" spans="1:6" x14ac:dyDescent="0.25">
      <c r="A9" s="30">
        <v>0.105625</v>
      </c>
      <c r="B9" s="31">
        <v>-1.3656934503501243</v>
      </c>
      <c r="C9" s="31">
        <v>-0.7186056684117884</v>
      </c>
      <c r="D9" s="31">
        <v>-0.07151788647350862</v>
      </c>
      <c r="E9" s="31">
        <v>0.5755698954647711</v>
      </c>
      <c r="F9" s="31">
        <v>1.2226576774030509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44665000000</v>
      </c>
      <c r="C5" s="18">
        <v>50518000000</v>
      </c>
      <c r="D5" s="18">
        <v>60248000000</v>
      </c>
      <c r="E5" s="18">
        <v>51282000000</v>
      </c>
      <c r="F5" s="8" t="s">
        <v>84</v>
      </c>
    </row>
    <row r="6" spans="1:6" x14ac:dyDescent="0.25">
      <c r="A6" t="s">
        <v>44</v>
      </c>
      <c r="B6" s="18">
        <v>8416000000</v>
      </c>
      <c r="C6" s="18">
        <v>11427000000</v>
      </c>
      <c r="D6" s="18">
        <v>14591000000</v>
      </c>
      <c r="E6" s="18">
        <v>9026000000</v>
      </c>
      <c r="F6" s="8" t="s">
        <v>85</v>
      </c>
    </row>
    <row r="7" spans="1:6" x14ac:dyDescent="0.25">
      <c r="A7" t="s">
        <v>86</v>
      </c>
      <c r="B7" s="18">
        <v>2229000000</v>
      </c>
      <c r="C7" s="18">
        <v>2118000000</v>
      </c>
      <c r="D7" s="18">
        <v>2004000000</v>
      </c>
      <c r="E7" s="18">
        <v>1895000000</v>
      </c>
      <c r="F7" s="8" t="s">
        <v>87</v>
      </c>
    </row>
    <row r="8" spans="1:6" x14ac:dyDescent="0.25">
      <c r="A8" t="s">
        <v>88</v>
      </c>
      <c r="B8" s="18">
        <v>4228000000</v>
      </c>
      <c r="C8" s="18">
        <v>4802000000</v>
      </c>
      <c r="D8" s="18">
        <v>4468000000</v>
      </c>
      <c r="E8" s="18">
        <v>3788000000</v>
      </c>
      <c r="F8" s="8" t="s">
        <v>89</v>
      </c>
    </row>
    <row r="9" spans="1:6" x14ac:dyDescent="0.25">
      <c r="A9" t="s">
        <v>90</v>
      </c>
      <c r="B9" s="18">
        <v>443000000</v>
      </c>
      <c r="C9" s="18">
        <v>181000000</v>
      </c>
      <c r="D9" s="18">
        <v>3337000000</v>
      </c>
      <c r="E9" s="18">
        <v>4315000000</v>
      </c>
      <c r="F9" s="8" t="s">
        <v>91</v>
      </c>
    </row>
    <row r="10" spans="1:6" x14ac:dyDescent="0.25">
      <c r="A10" t="s">
        <v>92</v>
      </c>
      <c r="B10" s="18">
        <v>64250000000</v>
      </c>
      <c r="C10" s="18">
        <v>65463000000</v>
      </c>
      <c r="D10" s="18">
        <v>63692000000</v>
      </c>
      <c r="E10" s="18">
        <v>52201000000</v>
      </c>
      <c r="F10" s="8" t="s">
        <v>93</v>
      </c>
    </row>
    <row r="11" spans="1:6" x14ac:dyDescent="0.25">
      <c r="A11" t="s">
        <v>94</v>
      </c>
      <c r="B11" s="18">
        <v>9687000000</v>
      </c>
      <c r="C11" s="18">
        <v>8478000000</v>
      </c>
      <c r="D11" s="18">
        <v>8404000000</v>
      </c>
      <c r="E11" s="18">
        <v>5508000000</v>
      </c>
      <c r="F11" s="8" t="s">
        <v>95</v>
      </c>
    </row>
    <row r="12" spans="1:6" x14ac:dyDescent="0.25">
      <c r="A12" t="s">
        <v>32</v>
      </c>
      <c r="B12" s="34">
        <v>271700000</v>
      </c>
      <c r="C12" s="34">
        <v>277100000</v>
      </c>
      <c r="D12" s="34">
        <v>293600000</v>
      </c>
      <c r="E12" s="34">
        <v>306300000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