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<sst xmlns="http://schemas.openxmlformats.org/spreadsheetml/2006/main" count="120" uniqueCount="107">
  <si>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Deckers Outdoor Corporation (DECK)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</si>
  <si>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</si>
  <si>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</si>
  <si>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</si>
  <si>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</si>
  <si>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</si>
  <si>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</si>
  <si>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</si>
  <si>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</si>
  <si>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</si>
  <si>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</si>
  <si>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</si>
  <si>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</si>
  <si>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</si>
  <si>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</si>
  <si>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</si>
  <si>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</si>
  <si>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</si>
  <si>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</si>
  <si>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</si>
  <si>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</si>
  <si>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</si>
  <si>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</si>
  <si>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</si>
  <si>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499.2x interest cover. Book interest / average debt was lower, at 0.8%.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</si>
  <si>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</si>
  <si>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</si>
  <si>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</si>
  <si>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</si>
  <si>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</si>
  <si>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</si>
  <si>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</si>
  <si>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</si>
  <si>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</si>
  <si>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</si>
  <si>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</si>
  <si>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</si>
  <si>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</si>
  <si>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</si>
  <si>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</si>
  <si>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</si>
  <si>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</si>
  <si>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</si>
  <si>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</si>
  <si>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</si>
  <si>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</si>
  <si>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</si>
  <si>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</si>
  <si>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</si>
  <si>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</si>
  <si>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</si>
  <si>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</si>
  <si>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</si>
  <si>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</si>
  <si>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</si>
  <si>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</si>
  <si>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</si>
  <si>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</si>
  <si>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</si>
  <si>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</si>
  <si>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</si>
  <si>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</si>
  <si>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</si>
  <si>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</si>
  <si>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</si>
  <si>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</si>
  <si>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</si>
  <si>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</si>
  <si>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</si>
  <si>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</si>
  <si>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</si>
  <si>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</si>
  <si>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</si>
  <si>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</si>
  <si>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</si>
  <si>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</si>
  <si>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</si>
  <si>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</si>
  <si>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</si>
  <si>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</si>
  <si>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</si>
  <si>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</si>
  <si>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</si>
  <si>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</si>
  <si>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</si>
  <si>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</si>
  <si>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</si>
  <si>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</si>
  <si>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</si>
  <si>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</si>
  <si>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</si>
  <si>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</si>
  <si>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</si>
  <si>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</si>
  <si>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</si>
  <si>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</si>
  <si>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</si>
  <si>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</si>
  <si>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</si>
  <si>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</si>
  <si>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</si>
  <si>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</si>
  <si>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</si>
  <si>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</si>
  <si>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</si>
  <si>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1.9% of revenue against depreciation of 1.4%.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</si>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</sst>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0.04326897521625295</v>
      </c>
    </row>
    <row r="7" spans="1:2" x14ac:dyDescent="0.25">
      <c r="A7" t="s">
        <v>4</v>
      </c>
      <c r="B7" s="5">
        <v>0.21588810671941377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0.013560072526247559</v>
      </c>
    </row>
    <row r="10" spans="1:3" x14ac:dyDescent="0.25">
      <c r="A10" t="s">
        <v>7</v>
      </c>
      <c r="B10" s="5">
        <v>0.01898183426903921</v>
      </c>
      <c r="C10" s="6" t="s">
        <v>8</v>
      </c>
    </row>
    <row r="11" spans="1:2" x14ac:dyDescent="0.25">
      <c r="A11" t="s">
        <v>9</v>
      </c>
      <c r="B11" s="5">
        <v>0.0868876409476053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7.030803982442354</v>
      </c>
    </row>
    <row r="14" spans="1:3" x14ac:dyDescent="0.25">
      <c r="A14" t="s">
        <v>12</v>
      </c>
      <c r="B14" s="5">
        <v>0.3591745954109498</v>
      </c>
      <c r="C14" s="6" t="s">
        <v>13</v>
      </c>
    </row>
    <row r="15" spans="1:3" x14ac:dyDescent="0.25">
      <c r="A15" t="s">
        <v>14</v>
      </c>
      <c r="B15" s="5">
        <v>0.013406514190897107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1.08107</v>
      </c>
      <c r="C19" s="6" t="s">
        <v>21</v>
      </c>
    </row>
    <row r="20" spans="1:2" x14ac:dyDescent="0.25">
      <c r="A20" t="s">
        <v>22</v>
      </c>
      <c r="B20" s="9">
        <f>B17+B19*B18</f>
        <v>0.094669261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10944023552</v>
      </c>
    </row>
    <row r="23" spans="1:2" x14ac:dyDescent="0.25">
      <c r="A23" t="s">
        <v>26</v>
      </c>
      <c r="B23" s="10">
        <v>375194000</v>
      </c>
    </row>
    <row r="24" spans="1:2" x14ac:dyDescent="0.25">
      <c r="A24" t="s">
        <v>27</v>
      </c>
      <c r="B24" s="9">
        <f>B22/(B22+B23)</f>
        <v>0.9668533625865591</v>
      </c>
    </row>
    <row r="25" spans="1:2" x14ac:dyDescent="0.25">
      <c r="A25" t="s">
        <v>28</v>
      </c>
      <c r="B25" s="9">
        <f>1-B24</f>
        <v>0.03314663741344093</v>
      </c>
    </row>
    <row r="26" spans="1:2" x14ac:dyDescent="0.25">
      <c r="A26" t="s">
        <v>29</v>
      </c>
      <c r="B26" s="11">
        <f>B24*B20+B25*B21*(1-B8)</f>
        <v>0.09291757188932198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5472296000</v>
      </c>
      <c r="C29" s="6" t="s">
        <v>32</v>
      </c>
    </row>
    <row r="30" spans="1:2" x14ac:dyDescent="0.25">
      <c r="A30" t="s">
        <v>33</v>
      </c>
      <c r="B30" s="10">
        <v>-1532055000</v>
      </c>
    </row>
    <row r="31" spans="1:2" x14ac:dyDescent="0.25">
      <c r="A31" t="s">
        <v>34</v>
      </c>
      <c r="B31" s="12">
        <v>145805000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0.04326897521625295</v>
      </c>
      <c r="C5" s="5">
        <v>0.05812543269694137</v>
      </c>
      <c r="D5" s="5">
        <v>0.0539847536098237</v>
      </c>
      <c r="E5" s="5">
        <v>0.049844074522706026</v>
      </c>
      <c r="F5" s="5">
        <v>0.04570339543558836</v>
      </c>
      <c r="G5" s="5">
        <v>0.04156271634847068</v>
      </c>
      <c r="H5" s="5">
        <v>0.037422037261353014</v>
      </c>
      <c r="I5" s="5">
        <v>0.033281358174235345</v>
      </c>
      <c r="J5" s="5">
        <v>0.029140679087117673</v>
      </c>
      <c r="K5" s="5">
        <v>0.025</v>
      </c>
    </row>
    <row r="6" spans="1:11" x14ac:dyDescent="0.25">
      <c r="A6" t="s">
        <v>50</v>
      </c>
      <c r="B6" s="18">
        <f>Assumptions!B29*(1+B5)</f>
        <v>5709076640</v>
      </c>
      <c r="C6" s="18">
        <f>B6*(1+C5)</f>
        <v>6040919190</v>
      </c>
      <c r="D6" s="18">
        <f>C6*(1+D5)</f>
        <v>6367036724.0490055</v>
      </c>
      <c r="E6" s="18">
        <f>D6*(1+E5)</f>
        <v>6684395777.01131</v>
      </c>
      <c r="F6" s="18">
        <f>E6*(1+F5)</f>
        <v>6989895360.456034</v>
      </c>
      <c r="G6" s="18">
        <f>F6*(1+G5)</f>
        <v>7280414398.628159</v>
      </c>
      <c r="H6" s="18">
        <f>G6*(1+H5)</f>
        <v>7552862337.531713</v>
      </c>
      <c r="I6" s="18">
        <f>H6*(1+I5)</f>
        <v>7804231854.2277975</v>
      </c>
      <c r="J6" s="18">
        <f>I6*(1+J5)</f>
        <v>8031652470.21331</v>
      </c>
      <c r="K6" s="18">
        <f>J6*(1+K5)</f>
        <v>8232443781.968642</v>
      </c>
    </row>
    <row r="7" spans="1:11" x14ac:dyDescent="0.25">
      <c r="A7" t="s">
        <v>4</v>
      </c>
      <c r="B7" s="9">
        <f>Assumptions!B7</f>
        <v>0.21588810671941377</v>
      </c>
      <c r="C7" s="9">
        <f>Assumptions!B7</f>
        <v>0.21588810671941377</v>
      </c>
      <c r="D7" s="9">
        <f>Assumptions!B7</f>
        <v>0.21588810671941377</v>
      </c>
      <c r="E7" s="9">
        <f>Assumptions!B7</f>
        <v>0.21588810671941377</v>
      </c>
      <c r="F7" s="9">
        <f>Assumptions!B7</f>
        <v>0.21588810671941377</v>
      </c>
      <c r="G7" s="9">
        <f>Assumptions!B7</f>
        <v>0.21588810671941377</v>
      </c>
      <c r="H7" s="9">
        <f>Assumptions!B7</f>
        <v>0.21588810671941377</v>
      </c>
      <c r="I7" s="9">
        <f>Assumptions!B7</f>
        <v>0.21588810671941377</v>
      </c>
      <c r="J7" s="9">
        <f>Assumptions!B7</f>
        <v>0.21588810671941377</v>
      </c>
      <c r="K7" s="9">
        <f>Assumptions!B7</f>
        <v>0.21588810671941377</v>
      </c>
    </row>
    <row r="8" spans="1:11" x14ac:dyDescent="0.25">
      <c r="A8" t="s">
        <v>51</v>
      </c>
      <c r="B8" s="18">
        <f>B6*B7</f>
        <v>1232521746.9256322</v>
      </c>
      <c r="C8" s="18">
        <f>C6*C7</f>
        <v>1304162606.7740746</v>
      </c>
      <c r="D8" s="18">
        <f>D6*D7</f>
        <v>1374567503.7679183</v>
      </c>
      <c r="E8" s="18">
        <f>E6*E7</f>
        <v>1443081548.8622165</v>
      </c>
      <c r="F8" s="18">
        <f>F6*F7</f>
        <v>1509035275.5356674</v>
      </c>
      <c r="G8" s="18">
        <f>G6*G7</f>
        <v>1571754880.6525927</v>
      </c>
      <c r="H8" s="18">
        <f>H6*H7</f>
        <v>1630573150.3620872</v>
      </c>
      <c r="I8" s="18">
        <f>I6*I7</f>
        <v>1684840839.408579</v>
      </c>
      <c r="J8" s="18">
        <f>J6*J7</f>
        <v>1733938245.6226544</v>
      </c>
      <c r="K8" s="18">
        <f>K6*K7</f>
        <v>1777286701.7632205</v>
      </c>
    </row>
    <row r="9" spans="1:11" x14ac:dyDescent="0.25">
      <c r="A9" t="s">
        <v>52</v>
      </c>
      <c r="B9" s="18">
        <f>B8*(1-Assumptions!B8)</f>
        <v>973692180.0712495</v>
      </c>
      <c r="C9" s="18">
        <f>C8*(1-Assumptions!B8)</f>
        <v>1030288459.351519</v>
      </c>
      <c r="D9" s="18">
        <f>D8*(1-Assumptions!B8)</f>
        <v>1085908327.9766555</v>
      </c>
      <c r="E9" s="18">
        <f>E8*(1-Assumptions!B8)</f>
        <v>1140034423.601151</v>
      </c>
      <c r="F9" s="18">
        <f>F8*(1-Assumptions!B8)</f>
        <v>1192137867.6731772</v>
      </c>
      <c r="G9" s="18">
        <f>G8*(1-Assumptions!B8)</f>
        <v>1241686355.7155483</v>
      </c>
      <c r="H9" s="18">
        <f>H8*(1-Assumptions!B8)</f>
        <v>1288152788.786049</v>
      </c>
      <c r="I9" s="18">
        <f>I8*(1-Assumptions!B8)</f>
        <v>1331024263.1327775</v>
      </c>
      <c r="J9" s="18">
        <f>J8*(1-Assumptions!B8)</f>
        <v>1369811214.041897</v>
      </c>
      <c r="K9" s="18">
        <f>K8*(1-Assumptions!B8)</f>
        <v>1404056494.3929443</v>
      </c>
    </row>
    <row r="10" spans="1:11" x14ac:dyDescent="0.25">
      <c r="A10" t="s">
        <v>53</v>
      </c>
      <c r="B10" s="18">
        <f>B6*Assumptions!B9</f>
        <v>77415493.29630573</v>
      </c>
      <c r="C10" s="18">
        <f>C6*Assumptions!B9</f>
        <v>81915302.34160066</v>
      </c>
      <c r="D10" s="18">
        <f>D6*Assumptions!B9</f>
        <v>86337479.75538617</v>
      </c>
      <c r="E10" s="18">
        <f>E6*Assumptions!B9</f>
        <v>90640891.53041627</v>
      </c>
      <c r="F10" s="18">
        <f>F6*Assumptions!B9</f>
        <v>94783488.03866515</v>
      </c>
      <c r="G10" s="18">
        <f>G6*Assumptions!B9</f>
        <v>98722947.26653484</v>
      </c>
      <c r="H10" s="18">
        <f>H6*Assumptions!B9</f>
        <v>102417361.07769369</v>
      </c>
      <c r="I10" s="18">
        <f>I6*Assumptions!B9</f>
        <v>105825949.9549804</v>
      </c>
      <c r="J10" s="18">
        <f>J6*Assumptions!B9</f>
        <v>108909790.00170785</v>
      </c>
      <c r="K10" s="18">
        <f>K6*Assumptions!B9</f>
        <v>111632534.75175053</v>
      </c>
    </row>
    <row r="11" spans="1:11" x14ac:dyDescent="0.25">
      <c r="A11" t="s">
        <v>54</v>
      </c>
      <c r="B11" s="18">
        <f>-B6*B19</f>
        <v>-108368746.60972323</v>
      </c>
      <c r="C11" s="18">
        <f>-C6*C19</f>
        <v>-118899191.4199995</v>
      </c>
      <c r="D11" s="18">
        <f>-D6*D19</f>
        <v>-129777834.06564628</v>
      </c>
      <c r="E11" s="18">
        <f>-E6*E19</f>
        <v>-140928688.73336744</v>
      </c>
      <c r="F11" s="18">
        <f>-F6*F19</f>
        <v>-152265799.33365577</v>
      </c>
      <c r="G11" s="18">
        <f>-G6*G19</f>
        <v>-163694069.56999546</v>
      </c>
      <c r="H11" s="18">
        <f>-H6*H19</f>
        <v>-175110365.93950862</v>
      </c>
      <c r="I11" s="18">
        <f>-I6*I19</f>
        <v>-186404883.59740517</v>
      </c>
      <c r="J11" s="18">
        <f>-J6*J19</f>
        <v>-197462755.9755144</v>
      </c>
      <c r="K11" s="18">
        <f>-K6*K19</f>
        <v>-208165880.04695114</v>
      </c>
    </row>
    <row r="12" spans="1:11" x14ac:dyDescent="0.25">
      <c r="A12" t="s">
        <v>55</v>
      </c>
      <c r="B12" s="18">
        <f>-(B6-Assumptions!B29)*Assumptions!B11</f>
        <v>-20573311.23166419</v>
      </c>
      <c r="C12" s="18">
        <f>-(C6-B6)*Assumptions!B11</f>
        <v>-28833016.33553776</v>
      </c>
      <c r="D12" s="18">
        <f>-(D6-C6)*Assumptions!B11</f>
        <v>-28335583.205168437</v>
      </c>
      <c r="E12" s="18">
        <f>-(E6-D6)*Assumptions!B11</f>
        <v>-27574579.445260733</v>
      </c>
      <c r="F12" s="18">
        <f>-(F6-E6)*Assumptions!B11</f>
        <v>-26544138.115988173</v>
      </c>
      <c r="G12" s="18">
        <f>-(G6-F6)*Assumptions!B11</f>
        <v>-25242513.877143223</v>
      </c>
      <c r="H12" s="18">
        <f>-(H6-G6)*Assumptions!B11</f>
        <v>-23672358.692367103</v>
      </c>
      <c r="I12" s="18">
        <f>-(I6-H6)*Assumptions!B11</f>
        <v>-21840904.311862506</v>
      </c>
      <c r="J12" s="18">
        <f>-(J6-I6)*Assumptions!B11</f>
        <v>-19760040.825832456</v>
      </c>
      <c r="K12" s="18">
        <f>-(K6-J6)*Assumptions!B11</f>
        <v>-17446283.401195966</v>
      </c>
    </row>
    <row r="13" spans="1:11" x14ac:dyDescent="0.25">
      <c r="A13" s="19" t="s">
        <v>56</v>
      </c>
      <c r="B13" s="20">
        <f>B9+B10+B11+B12</f>
        <v>922165615.5261679</v>
      </c>
      <c r="C13" s="20">
        <f>C9+C10+C11+C12</f>
        <v>964471553.9375823</v>
      </c>
      <c r="D13" s="20">
        <f>D9+D10+D11+D12</f>
        <v>1014132390.4612268</v>
      </c>
      <c r="E13" s="20">
        <f>E9+E10+E11+E12</f>
        <v>1062172046.952939</v>
      </c>
      <c r="F13" s="20">
        <f>F9+F10+F11+F12</f>
        <v>1108111418.2621982</v>
      </c>
      <c r="G13" s="20">
        <f>G9+G10+G11+G12</f>
        <v>1151472719.5349445</v>
      </c>
      <c r="H13" s="20">
        <f>H9+H10+H11+H12</f>
        <v>1191787425.2318668</v>
      </c>
      <c r="I13" s="20">
        <f>I9+I10+I11+I12</f>
        <v>1228604425.1784902</v>
      </c>
      <c r="J13" s="20">
        <f>J9+J10+J11+J12</f>
        <v>1261498207.242258</v>
      </c>
      <c r="K13" s="20">
        <f>K9+K10+K11+K12</f>
        <v>1290076865.6965477</v>
      </c>
    </row>
    <row r="14" spans="1:11" x14ac:dyDescent="0.25">
      <c r="A14" t="s">
        <v>57</v>
      </c>
      <c r="B14" s="21">
        <f>1/(1+Assumptions!$B$26)^(1-0.5*Assumptions!$B$32)</f>
        <v>0.9565469597597827</v>
      </c>
      <c r="C14" s="21">
        <f>1/(1+Assumptions!$B$26)^(2-0.5*Assumptions!$B$32)</f>
        <v>0.8752233328138406</v>
      </c>
      <c r="D14" s="21">
        <f>1/(1+Assumptions!$B$26)^(3-0.5*Assumptions!$B$32)</f>
        <v>0.8008136709714033</v>
      </c>
      <c r="E14" s="21">
        <f>1/(1+Assumptions!$B$26)^(4-0.5*Assumptions!$B$32)</f>
        <v>0.7327301633434625</v>
      </c>
      <c r="F14" s="21">
        <f>1/(1+Assumptions!$B$26)^(5-0.5*Assumptions!$B$32)</f>
        <v>0.670434973496487</v>
      </c>
      <c r="G14" s="21">
        <f>1/(1+Assumptions!$B$26)^(6-0.5*Assumptions!$B$32)</f>
        <v>0.6134359907284762</v>
      </c>
      <c r="H14" s="21">
        <f>1/(1+Assumptions!$B$26)^(7-0.5*Assumptions!$B$32)</f>
        <v>0.5612829425626601</v>
      </c>
      <c r="I14" s="21">
        <f>1/(1+Assumptions!$B$26)^(8-0.5*Assumptions!$B$32)</f>
        <v>0.513563837748873</v>
      </c>
      <c r="J14" s="21">
        <f>1/(1+Assumptions!$B$26)^(9-0.5*Assumptions!$B$32)</f>
        <v>0.4699017116735321</v>
      </c>
      <c r="K14" s="21">
        <f>1/(1+Assumptions!$B$26)^(10-0.5*Assumptions!$B$32)</f>
        <v>0.42995164846806794</v>
      </c>
    </row>
    <row r="15" spans="1:11" x14ac:dyDescent="0.25">
      <c r="A15" s="19" t="s">
        <v>58</v>
      </c>
      <c r="B15" s="20">
        <f>B13*B14</f>
        <v>882094715.9265645</v>
      </c>
      <c r="C15" s="20">
        <f>C13*C14</f>
        <v>844128007.8413945</v>
      </c>
      <c r="D15" s="20">
        <f>D13*D14</f>
        <v>812131082.4562596</v>
      </c>
      <c r="E15" s="20">
        <f>E13*E14</f>
        <v>778285497.462687</v>
      </c>
      <c r="F15" s="20">
        <f>F13*F14</f>
        <v>742916649.3337715</v>
      </c>
      <c r="G15" s="20">
        <f>G13*G14</f>
        <v>706354808.5047315</v>
      </c>
      <c r="H15" s="20">
        <f>H13*H14</f>
        <v>668929952.9433185</v>
      </c>
      <c r="I15" s="20">
        <f>I13*I14</f>
        <v>630966803.6699135</v>
      </c>
      <c r="J15" s="20">
        <f>J13*J14</f>
        <v>592780166.8562292</v>
      </c>
      <c r="K15" s="20">
        <f>K13*K14</f>
        <v>554670675.056749</v>
      </c>
    </row>
    <row r="17" spans="1:2" x14ac:dyDescent="0.25">
      <c r="A17" s="22" t="s">
        <v>59</v>
      </c>
      <c r="B17" s="23">
        <f>SUM(B15:K15)</f>
        <v>7213258360.051619</v>
      </c>
    </row>
    <row r="19" spans="1:11" x14ac:dyDescent="0.25">
      <c r="A19" t="s">
        <v>7</v>
      </c>
      <c r="B19" s="9">
        <f>Assumptions!$B$10+($B$20-Assumptions!$B$10)*0/9</f>
        <v>0.01898183426903921</v>
      </c>
      <c r="C19" s="9">
        <f>Assumptions!$B$10+($B$20-Assumptions!$B$10)*1/9</f>
        <v>0.019682301265811088</v>
      </c>
      <c r="D19" s="9">
        <f>Assumptions!$B$10+($B$20-Assumptions!$B$10)*2/9</f>
        <v>0.020382768262582965</v>
      </c>
      <c r="E19" s="9">
        <f>Assumptions!$B$10+($B$20-Assumptions!$B$10)*3/9</f>
        <v>0.021083235259354842</v>
      </c>
      <c r="F19" s="9">
        <f>Assumptions!$B$10+($B$20-Assumptions!$B$10)*4/9</f>
        <v>0.02178370225612672</v>
      </c>
      <c r="G19" s="9">
        <f>Assumptions!$B$10+($B$20-Assumptions!$B$10)*5/9</f>
        <v>0.022484169252898596</v>
      </c>
      <c r="H19" s="9">
        <f>Assumptions!$B$10+($B$20-Assumptions!$B$10)*6/9</f>
        <v>0.023184636249670473</v>
      </c>
      <c r="I19" s="9">
        <f>Assumptions!$B$10+($B$20-Assumptions!$B$10)*7/9</f>
        <v>0.02388510324644235</v>
      </c>
      <c r="J19" s="9">
        <f>Assumptions!$B$10+($B$20-Assumptions!$B$10)*8/9</f>
        <v>0.024585570243214228</v>
      </c>
      <c r="K19" s="9">
        <f>Assumptions!$B$10+($B$20-Assumptions!$B$10)*9/9</f>
        <v>0.025286037239986105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0.025286037239986105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1290076865.6965477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1405055181.079734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0.06960403190931763</v>
      </c>
    </row>
    <row r="7" spans="1:2" x14ac:dyDescent="0.25">
      <c r="A7" t="s">
        <v>66</v>
      </c>
      <c r="B7" s="18">
        <f>-MAX(B5,0)*B6</f>
        <v>-97797505.65822588</v>
      </c>
    </row>
    <row r="8" spans="1:2" x14ac:dyDescent="0.25">
      <c r="A8" t="s">
        <v>67</v>
      </c>
      <c r="B8" s="18">
        <f>IF(OR(Assumptions!$B$33=0,Assumptions!B12&lt;=0),B5,MAX(B5+B7,0))</f>
        <v>1307257675.4215083</v>
      </c>
    </row>
    <row r="9" spans="1:2" x14ac:dyDescent="0.25">
      <c r="A9" t="s">
        <v>68</v>
      </c>
      <c r="B9" s="18">
        <f>B8*(1+Assumptions!B12)/(Assumptions!B26-Assumptions!B12)</f>
        <v>19728901962.081352</v>
      </c>
    </row>
    <row r="10" spans="1:2" x14ac:dyDescent="0.25">
      <c r="A10" t="s">
        <v>69</v>
      </c>
      <c r="B10" s="18">
        <f>B9/(1+Assumptions!B26)^(10-0.5*Assumptions!B32)</f>
        <v>8482473921.061777</v>
      </c>
    </row>
    <row r="11" spans="1:2" x14ac:dyDescent="0.25">
      <c r="A11" t="s">
        <v>70</v>
      </c>
      <c r="B11" s="18">
        <f>Forecast!B17+B10</f>
        <v>15695732281.113396</v>
      </c>
    </row>
    <row r="12" spans="1:2" x14ac:dyDescent="0.25">
      <c r="A12" t="s">
        <v>71</v>
      </c>
      <c r="B12" s="18">
        <f>-Assumptions!B30</f>
        <v>1532055000</v>
      </c>
    </row>
    <row r="13" spans="1:2" x14ac:dyDescent="0.25">
      <c r="A13" t="s">
        <v>72</v>
      </c>
      <c r="B13" s="18">
        <f>B11+B12</f>
        <v>17227787281.113396</v>
      </c>
    </row>
    <row r="14" spans="1:2" x14ac:dyDescent="0.25">
      <c r="A14" s="19" t="s">
        <v>73</v>
      </c>
      <c r="B14" s="24">
        <f>B13/Assumptions!B31</f>
        <v>118.15635459081236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1888919236.514971</v>
      </c>
    </row>
    <row r="18" spans="1:2" x14ac:dyDescent="0.25">
      <c r="A18" t="s">
        <v>68</v>
      </c>
      <c r="B18" s="18">
        <f>B17*Assumptions!B13</f>
        <v>13280620890.601429</v>
      </c>
    </row>
    <row r="19" spans="1:2" x14ac:dyDescent="0.25">
      <c r="A19" t="s">
        <v>69</v>
      </c>
      <c r="B19" s="18">
        <f>B18/(1+Assumptions!B26)^(10-0.5*Assumptions!B32)</f>
        <v>5710024844.593545</v>
      </c>
    </row>
    <row r="20" spans="1:2" x14ac:dyDescent="0.25">
      <c r="A20" t="s">
        <v>70</v>
      </c>
      <c r="B20" s="18">
        <f>Forecast!B17+B19</f>
        <v>12923283204.645164</v>
      </c>
    </row>
    <row r="21" spans="1:2" x14ac:dyDescent="0.25">
      <c r="A21" t="s">
        <v>71</v>
      </c>
      <c r="B21" s="18">
        <f>-Assumptions!B30</f>
        <v>1532055000</v>
      </c>
    </row>
    <row r="22" spans="1:2" x14ac:dyDescent="0.25">
      <c r="A22" t="s">
        <v>72</v>
      </c>
      <c r="B22" s="18">
        <f>B20+B21</f>
        <v>14455338204.645164</v>
      </c>
    </row>
    <row r="23" spans="1:2" x14ac:dyDescent="0.25">
      <c r="A23" s="19" t="s">
        <v>73</v>
      </c>
      <c r="B23" s="25">
        <f>B22/Assumptions!B31</f>
        <v>99.14158091042944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81.99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118.15635459081236</v>
      </c>
    </row>
    <row r="29" spans="1:2" x14ac:dyDescent="0.25">
      <c r="A29" s="19" t="s">
        <v>81</v>
      </c>
      <c r="B29" s="11">
        <f>B28/B26-1</f>
        <v>0.44110689829018623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0.072918</v>
      </c>
      <c r="B5" s="31">
        <v>148.1115087826292</v>
      </c>
      <c r="C5" s="31">
        <v>154.68633040276606</v>
      </c>
      <c r="D5" s="31">
        <v>162.6986580688032</v>
      </c>
      <c r="E5" s="31">
        <v>172.6509054693679</v>
      </c>
      <c r="F5" s="31">
        <v>185.3104863925796</v>
      </c>
    </row>
    <row r="6" spans="1:6" x14ac:dyDescent="0.25">
      <c r="A6" s="30">
        <v>0.082918</v>
      </c>
      <c r="B6" s="31">
        <v>127.5922239167698</v>
      </c>
      <c r="C6" s="31">
        <v>131.70215238924712</v>
      </c>
      <c r="D6" s="31">
        <v>136.57286647482073</v>
      </c>
      <c r="E6" s="31">
        <v>142.42001650412377</v>
      </c>
      <c r="F6" s="31">
        <v>149.54926087600302</v>
      </c>
    </row>
    <row r="7" spans="1:6" x14ac:dyDescent="0.25">
      <c r="A7" s="30">
        <v>0.092918</v>
      </c>
      <c r="B7" s="31">
        <v>112.37367475945669</v>
      </c>
      <c r="C7" s="31">
        <v>115.0472063750914</v>
      </c>
      <c r="D7" s="32">
        <v>118.1556825259178</v>
      </c>
      <c r="E7" s="31">
        <v>121.80279640033793</v>
      </c>
      <c r="F7" s="31">
        <v>126.12804808215827</v>
      </c>
    </row>
    <row r="8" spans="1:6" x14ac:dyDescent="0.25">
      <c r="A8" s="30">
        <v>0.102918</v>
      </c>
      <c r="B8" s="31">
        <v>100.64478633807676</v>
      </c>
      <c r="C8" s="31">
        <v>102.42982165321393</v>
      </c>
      <c r="D8" s="31">
        <v>104.47805254399887</v>
      </c>
      <c r="E8" s="31">
        <v>106.84362111025216</v>
      </c>
      <c r="F8" s="31">
        <v>109.59661282463237</v>
      </c>
    </row>
    <row r="9" spans="1:6" x14ac:dyDescent="0.25">
      <c r="A9" s="30">
        <v>0.112918</v>
      </c>
      <c r="B9" s="31">
        <v>91.33450033360016</v>
      </c>
      <c r="C9" s="31">
        <v>92.54499952805674</v>
      </c>
      <c r="D9" s="31">
        <v>93.921838502849</v>
      </c>
      <c r="E9" s="31">
        <v>95.49510839265263</v>
      </c>
      <c r="F9" s="31">
        <v>97.30262412758862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5472296000</v>
      </c>
      <c r="C5" s="18">
        <v>4985612000</v>
      </c>
      <c r="D5" s="18">
        <v>4287763000</v>
      </c>
      <c r="E5" s="18">
        <v>3627286000</v>
      </c>
      <c r="F5" s="6" t="s">
        <v>91</v>
      </c>
    </row>
    <row r="6" spans="1:6" x14ac:dyDescent="0.25">
      <c r="A6" t="s">
        <v>51</v>
      </c>
      <c r="B6" s="18">
        <v>1262903000</v>
      </c>
      <c r="C6" s="18">
        <v>1179092000</v>
      </c>
      <c r="D6" s="18">
        <v>927514000</v>
      </c>
      <c r="E6" s="18">
        <v>652751000</v>
      </c>
      <c r="F6" s="6" t="s">
        <v>92</v>
      </c>
    </row>
    <row r="7" spans="1:6" x14ac:dyDescent="0.25">
      <c r="A7" t="s">
        <v>93</v>
      </c>
      <c r="B7" s="18">
        <v>75773000</v>
      </c>
      <c r="C7" s="18">
        <v>69353000</v>
      </c>
      <c r="D7" s="18">
        <v>57587000</v>
      </c>
      <c r="E7" s="18">
        <v>47345000</v>
      </c>
      <c r="F7" s="6" t="s">
        <v>94</v>
      </c>
    </row>
    <row r="8" spans="1:6" x14ac:dyDescent="0.25">
      <c r="A8" t="s">
        <v>95</v>
      </c>
      <c r="B8" s="18">
        <v>84623000</v>
      </c>
      <c r="C8" s="18">
        <v>86171000</v>
      </c>
      <c r="D8" s="18">
        <v>89365000</v>
      </c>
      <c r="E8" s="18">
        <v>81025000</v>
      </c>
      <c r="F8" s="6" t="s">
        <v>96</v>
      </c>
    </row>
    <row r="9" spans="1:6" x14ac:dyDescent="0.25">
      <c r="A9" t="s">
        <v>97</v>
      </c>
      <c r="B9" s="18">
        <v>-18593000</v>
      </c>
      <c r="C9" s="18">
        <v>38204000</v>
      </c>
      <c r="D9" s="18">
        <v>-167806000</v>
      </c>
      <c r="E9" s="18">
        <v>54302000</v>
      </c>
      <c r="F9" s="6" t="s">
        <v>98</v>
      </c>
    </row>
    <row r="10" spans="1:6" x14ac:dyDescent="0.25">
      <c r="A10" t="s">
        <v>99</v>
      </c>
      <c r="B10" s="18">
        <v>375194000</v>
      </c>
      <c r="C10" s="18">
        <v>276975000</v>
      </c>
      <c r="D10" s="18">
        <v>266879000</v>
      </c>
      <c r="E10" s="18">
        <v>246488000</v>
      </c>
      <c r="F10" s="6" t="s">
        <v>100</v>
      </c>
    </row>
    <row r="11" spans="1:6" x14ac:dyDescent="0.25">
      <c r="A11" t="s">
        <v>101</v>
      </c>
      <c r="B11" s="18">
        <v>1907249000</v>
      </c>
      <c r="C11" s="18">
        <v>1889188000</v>
      </c>
      <c r="D11" s="18">
        <v>1502051000</v>
      </c>
      <c r="E11" s="18">
        <v>981795000</v>
      </c>
      <c r="F11" s="6" t="s">
        <v>102</v>
      </c>
    </row>
    <row r="12" spans="1:6" x14ac:dyDescent="0.25">
      <c r="A12" t="s">
        <v>34</v>
      </c>
      <c r="B12" s="34">
        <v>145805000</v>
      </c>
      <c r="C12" s="34">
        <v>152670000</v>
      </c>
      <c r="D12" s="34">
        <v>156288000</v>
      </c>
      <c r="E12" s="34">
        <v>160116000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