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<sst xmlns="http://schemas.openxmlformats.org/spreadsheetml/2006/main" count="112" uniqueCount="100">
  <si>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Deckers Outdoor Corporation (DECK)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</si>
  <si>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</si>
  <si>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</si>
  <si>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</si>
  <si>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</si>
  <si>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</si>
  <si>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</si>
  <si>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</si>
  <si>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</si>
  <si>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</si>
  <si>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</si>
  <si>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</si>
  <si>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</si>
  <si>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</si>
  <si>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</si>
  <si>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</si>
  <si>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</si>
  <si>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</si>
  <si>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</si>
  <si>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</si>
  <si>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</si>
  <si>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</si>
  <si>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</si>
  <si>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</si>
  <si>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</si>
  <si>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</si>
  <si>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</si>
  <si>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</si>
  <si>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</si>
  <si>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</si>
  <si>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</si>
  <si>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</si>
  <si>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</si>
  <si>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</si>
  <si>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</si>
  <si>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</si>
  <si>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</si>
  <si>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</si>
  <si>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</si>
  <si>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</si>
  <si>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</si>
  <si>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</si>
  <si>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</si>
  <si>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</si>
  <si>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</si>
  <si>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</si>
  <si>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</si>
  <si>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</si>
  <si>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</si>
  <si>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</si>
  <si>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</si>
  <si>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</si>
  <si>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</si>
  <si>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</si>
  <si>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</si>
  <si>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</si>
  <si>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</si>
  <si>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</si>
  <si>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</si>
  <si>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</si>
  <si>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</si>
  <si>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</si>
  <si>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</si>
  <si>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</si>
  <si>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</si>
  <si>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</si>
  <si>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</si>
  <si>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</si>
  <si>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</si>
  <si>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</si>
  <si>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</si>
  <si>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</si>
  <si>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</si>
  <si>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</si>
  <si>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</si>
  <si>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</si>
  <si>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</si>
  <si>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</si>
  <si>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</si>
  <si>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</si>
  <si>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</si>
  <si>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</si>
  <si>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</si>
  <si>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</si>
  <si>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</si>
  <si>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</si>
  <si>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</si>
  <si>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</si>
  <si>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</si>
  <si>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</si>
  <si>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</si>
  <si>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</si>
  <si>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</si>
  <si>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</si>
  <si>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</si>
  <si>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</si>
  <si>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</si>
  <si>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</si>
  <si>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1.9% of revenue against depreciation of 1.4%.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</si>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</sst>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0.1469097911350663</v>
      </c>
    </row>
    <row r="7" spans="1:2" x14ac:dyDescent="0.25">
      <c r="A7" t="s">
        <v>5</v>
      </c>
      <c r="B7" s="6">
        <v>0.21588810671941377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0.013560072526247559</v>
      </c>
    </row>
    <row r="10" spans="1:2" x14ac:dyDescent="0.25">
      <c r="A10" t="s">
        <v>8</v>
      </c>
      <c r="B10" s="6">
        <v>0.01898183426903921</v>
      </c>
    </row>
    <row r="11" spans="1:2" x14ac:dyDescent="0.25">
      <c r="A11" t="s">
        <v>9</v>
      </c>
      <c r="B11" s="6">
        <v>-0.03820343385030122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6.834131568803803</v>
      </c>
    </row>
    <row r="14" spans="1:3" x14ac:dyDescent="0.25">
      <c r="A14" t="s">
        <v>12</v>
      </c>
      <c r="B14" s="6">
        <v>0.3591745954109498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1.1004999999999998</v>
      </c>
      <c r="C19" s="8" t="s">
        <v>19</v>
      </c>
    </row>
    <row r="20" spans="1:2" x14ac:dyDescent="0.25">
      <c r="A20" t="s">
        <v>20</v>
      </c>
      <c r="B20" s="10">
        <f>B17+B19*B18</f>
        <v>0.1105075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10680742912</v>
      </c>
    </row>
    <row r="23" spans="1:2" x14ac:dyDescent="0.25">
      <c r="A23" t="s">
        <v>24</v>
      </c>
      <c r="B23" s="11">
        <v>375194000</v>
      </c>
    </row>
    <row r="24" spans="1:2" x14ac:dyDescent="0.25">
      <c r="A24" t="s">
        <v>25</v>
      </c>
      <c r="B24" s="10">
        <f>B22/(B22+B23)</f>
        <v>0.9660640248776412</v>
      </c>
    </row>
    <row r="25" spans="1:2" x14ac:dyDescent="0.25">
      <c r="A25" t="s">
        <v>26</v>
      </c>
      <c r="B25" s="10">
        <f>1-B24</f>
        <v>0.0339359751223588</v>
      </c>
    </row>
    <row r="26" spans="1:2" x14ac:dyDescent="0.25">
      <c r="A26" t="s">
        <v>27</v>
      </c>
      <c r="B26" s="12">
        <f>B24*B20+B25*B21*(1-B8)</f>
        <v>0.10809725505809216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5472296000</v>
      </c>
      <c r="C29" s="8" t="s">
        <v>30</v>
      </c>
    </row>
    <row r="30" spans="1:2" x14ac:dyDescent="0.25">
      <c r="A30" t="s">
        <v>31</v>
      </c>
      <c r="B30" s="11">
        <v>-1532055000</v>
      </c>
    </row>
    <row r="31" spans="1:2" x14ac:dyDescent="0.25">
      <c r="A31" t="s">
        <v>32</v>
      </c>
      <c r="B31" s="13">
        <v>145805000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0.1469097911350663</v>
      </c>
      <c r="C5" s="10">
        <f>Assumptions!B6</f>
        <v>0.1469097911350663</v>
      </c>
      <c r="D5" s="10">
        <f>Assumptions!B6</f>
        <v>0.1469097911350663</v>
      </c>
      <c r="E5" s="10">
        <f>Assumptions!B6</f>
        <v>0.1469097911350663</v>
      </c>
      <c r="F5" s="10">
        <f>Assumptions!B6</f>
        <v>0.1469097911350663</v>
      </c>
    </row>
    <row r="6" spans="1:6" x14ac:dyDescent="0.25">
      <c r="A6" t="s">
        <v>43</v>
      </c>
      <c r="B6" s="18">
        <f>Assumptions!B29*(1+B5)</f>
        <v>6276229862.389258</v>
      </c>
      <c r="C6" s="18">
        <f>B6*(1+C5)</f>
        <v>7198269480.588531</v>
      </c>
      <c r="D6" s="18">
        <f>C6*(1+D5)</f>
        <v>8255765746.515714</v>
      </c>
      <c r="E6" s="18">
        <f>D6*(1+E5)</f>
        <v>9468618567.996372</v>
      </c>
      <c r="F6" s="18">
        <f>E6*(1+F5)</f>
        <v>10859651344.158329</v>
      </c>
    </row>
    <row r="7" spans="1:6" x14ac:dyDescent="0.25">
      <c r="A7" t="s">
        <v>5</v>
      </c>
      <c r="B7" s="10">
        <f>Assumptions!B7</f>
        <v>0.21588810671941377</v>
      </c>
      <c r="C7" s="10">
        <f>Assumptions!B7</f>
        <v>0.21588810671941377</v>
      </c>
      <c r="D7" s="10">
        <f>Assumptions!B7</f>
        <v>0.21588810671941377</v>
      </c>
      <c r="E7" s="10">
        <f>Assumptions!B7</f>
        <v>0.21588810671941377</v>
      </c>
      <c r="F7" s="10">
        <f>Assumptions!B7</f>
        <v>0.21588810671941377</v>
      </c>
    </row>
    <row r="8" spans="1:6" x14ac:dyDescent="0.25">
      <c r="A8" t="s">
        <v>44</v>
      </c>
      <c r="B8" s="18">
        <f>B6*B7</f>
        <v>1354963382.3270638</v>
      </c>
      <c r="C8" s="18">
        <f>C6*C7</f>
        <v>1554020769.820396</v>
      </c>
      <c r="D8" s="18">
        <f>D6*D7</f>
        <v>1782321636.534265</v>
      </c>
      <c r="E8" s="18">
        <f>E6*E7</f>
        <v>2044162135.8930237</v>
      </c>
      <c r="F8" s="18">
        <f>F6*F7</f>
        <v>2344469568.3232784</v>
      </c>
    </row>
    <row r="9" spans="1:6" x14ac:dyDescent="0.25">
      <c r="A9" t="s">
        <v>45</v>
      </c>
      <c r="B9" s="18">
        <f>B8*(1-Assumptions!B8)</f>
        <v>1070421072.0383805</v>
      </c>
      <c r="C9" s="18">
        <f>C8*(1-Assumptions!B8)</f>
        <v>1227676408.1581128</v>
      </c>
      <c r="D9" s="18">
        <f>D8*(1-Assumptions!B8)</f>
        <v>1408034092.8620694</v>
      </c>
      <c r="E9" s="18">
        <f>E8*(1-Assumptions!B8)</f>
        <v>1614888087.3554888</v>
      </c>
      <c r="F9" s="18">
        <f>F8*(1-Assumptions!B8)</f>
        <v>1852130958.97539</v>
      </c>
    </row>
    <row r="10" spans="1:6" x14ac:dyDescent="0.25">
      <c r="A10" t="s">
        <v>46</v>
      </c>
      <c r="B10" s="18">
        <f>B6*Assumptions!B9</f>
        <v>85106132.12539908</v>
      </c>
      <c r="C10" s="18">
        <f>C6*Assumptions!B9</f>
        <v>97609056.22025482</v>
      </c>
      <c r="D10" s="18">
        <f>D6*Assumptions!B9</f>
        <v>111948782.2824634</v>
      </c>
      <c r="E10" s="18">
        <f>E6*Assumptions!B9</f>
        <v>128395154.50540511</v>
      </c>
      <c r="F10" s="18">
        <f>F6*Assumptions!B9</f>
        <v>147257659.83654872</v>
      </c>
    </row>
    <row r="11" spans="1:6" x14ac:dyDescent="0.25">
      <c r="A11" t="s">
        <v>47</v>
      </c>
      <c r="B11" s="18">
        <f>-B6*Assumptions!B10</f>
        <v>-119134355.08226767</v>
      </c>
      <c r="C11" s="18">
        <f>-C6*Assumptions!B10</f>
        <v>-136636358.30441445</v>
      </c>
      <c r="D11" s="18">
        <f>-D6*Assumptions!B10</f>
        <v>-156709577.16437206</v>
      </c>
      <c r="E11" s="18">
        <f>-E6*Assumptions!B10</f>
        <v>-179731748.41445452</v>
      </c>
      <c r="F11" s="18">
        <f>-F6*Assumptions!B10</f>
        <v>-206136102.0343623</v>
      </c>
    </row>
    <row r="12" spans="1:6" x14ac:dyDescent="0.25">
      <c r="A12" t="s">
        <v>48</v>
      </c>
      <c r="B12" s="18">
        <f>-(B6-Assumptions!B29)*Assumptions!B11</f>
        <v>30713034.131805196</v>
      </c>
      <c r="C12" s="18">
        <f>-(C6-B6)*Assumptions!B11</f>
        <v>35225079.56123289</v>
      </c>
      <c r="D12" s="18">
        <f>-(D6-C6)*Assumptions!B11</f>
        <v>40399988.64228969</v>
      </c>
      <c r="E12" s="18">
        <f>-(E6-D6)*Assumptions!B11</f>
        <v>46335142.535587534</v>
      </c>
      <c r="F12" s="18">
        <f>-(F6-E6)*Assumptions!B11</f>
        <v>53142228.64770418</v>
      </c>
    </row>
    <row r="13" spans="1:6" x14ac:dyDescent="0.25">
      <c r="A13" s="19" t="s">
        <v>49</v>
      </c>
      <c r="B13" s="20">
        <f>B9+B10+B11+B12</f>
        <v>1067105883.213317</v>
      </c>
      <c r="C13" s="20">
        <f>C9+C10+C11+C12</f>
        <v>1223874185.635186</v>
      </c>
      <c r="D13" s="20">
        <f>D9+D10+D11+D12</f>
        <v>1403673286.6224504</v>
      </c>
      <c r="E13" s="20">
        <f>E9+E10+E11+E12</f>
        <v>1609886635.982027</v>
      </c>
      <c r="F13" s="20">
        <f>F9+F10+F11+F12</f>
        <v>1846394745.4252806</v>
      </c>
    </row>
    <row r="14" spans="1:6" x14ac:dyDescent="0.25">
      <c r="A14" t="s">
        <v>50</v>
      </c>
      <c r="B14" s="21">
        <f>1/(1+Assumptions!$B$26)^(1-0.5*Assumptions!$B$32)</f>
        <v>0.9499725591612768</v>
      </c>
      <c r="C14" s="21">
        <f>1/(1+Assumptions!$B$26)^(2-0.5*Assumptions!$B$32)</f>
        <v>0.857300706075185</v>
      </c>
      <c r="D14" s="21">
        <f>1/(1+Assumptions!$B$26)^(3-0.5*Assumptions!$B$32)</f>
        <v>0.7736691902826174</v>
      </c>
      <c r="E14" s="21">
        <f>1/(1+Assumptions!$B$26)^(4-0.5*Assumptions!$B$32)</f>
        <v>0.6981961075628309</v>
      </c>
      <c r="F14" s="21">
        <f>1/(1+Assumptions!$B$26)^(5-0.5*Assumptions!$B$32)</f>
        <v>0.6300855853363051</v>
      </c>
    </row>
    <row r="15" spans="1:6" x14ac:dyDescent="0.25">
      <c r="A15" s="19" t="s">
        <v>51</v>
      </c>
      <c r="B15" s="20">
        <f>B13*B14</f>
        <v>1013721306.7722093</v>
      </c>
      <c r="C15" s="20">
        <f>C13*C14</f>
        <v>1049228203.492237</v>
      </c>
      <c r="D15" s="20">
        <f>D13*D14</f>
        <v>1085978775.0825315</v>
      </c>
      <c r="E15" s="20">
        <f>E13*E14</f>
        <v>1124016582.8600714</v>
      </c>
      <c r="F15" s="20">
        <f>F13*F14</f>
        <v>1163386713.933166</v>
      </c>
    </row>
    <row r="17" spans="1:2" x14ac:dyDescent="0.25">
      <c r="A17" s="22" t="s">
        <v>52</v>
      </c>
      <c r="B17" s="23">
        <f>SUM(B15:F15)</f>
        <v>5436331582.140215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1846394745.4252806</v>
      </c>
    </row>
    <row r="5" spans="1:2" x14ac:dyDescent="0.25">
      <c r="A5" t="s">
        <v>56</v>
      </c>
      <c r="B5" s="18">
        <f>IF(Assumptions!$B$33=0,B4,B4-Forecast!F11-Forecast!F10-Forecast!F12)</f>
        <v>1853448355.0618775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0.06960403190931763</v>
      </c>
    </row>
    <row r="7" spans="1:2" x14ac:dyDescent="0.25">
      <c r="A7" t="s">
        <v>58</v>
      </c>
      <c r="B7" s="18">
        <f>-MAX(Forecast!F9,0)*B6</f>
        <v>-129007478.4479992</v>
      </c>
    </row>
    <row r="8" spans="1:2" x14ac:dyDescent="0.25">
      <c r="A8" t="s">
        <v>59</v>
      </c>
      <c r="B8" s="18">
        <f>IF(OR(Assumptions!$B$33=0,Assumptions!B12&lt;=0),B5,MAX(B5+B7,0))</f>
        <v>1724440876.6138783</v>
      </c>
    </row>
    <row r="9" spans="1:2" x14ac:dyDescent="0.25">
      <c r="A9" t="s">
        <v>60</v>
      </c>
      <c r="B9" s="18">
        <f>B8*(1+Assumptions!B12)/(Assumptions!B26-Assumptions!B12)</f>
        <v>21270881899.69156</v>
      </c>
    </row>
    <row r="10" spans="1:2" x14ac:dyDescent="0.25">
      <c r="A10" t="s">
        <v>61</v>
      </c>
      <c r="B10" s="18">
        <f>B9/(1+Assumptions!B26)^(5-0.5*Assumptions!B32)</f>
        <v>13402476072.386574</v>
      </c>
    </row>
    <row r="11" spans="1:2" x14ac:dyDescent="0.25">
      <c r="A11" t="s">
        <v>62</v>
      </c>
      <c r="B11" s="18">
        <f>Forecast!B17+B10</f>
        <v>18838807654.526787</v>
      </c>
    </row>
    <row r="12" spans="1:2" x14ac:dyDescent="0.25">
      <c r="A12" t="s">
        <v>63</v>
      </c>
      <c r="B12" s="18">
        <f>-Assumptions!B30</f>
        <v>1532055000</v>
      </c>
    </row>
    <row r="13" spans="1:2" x14ac:dyDescent="0.25">
      <c r="A13" t="s">
        <v>64</v>
      </c>
      <c r="B13" s="18">
        <f>B11+B12</f>
        <v>20370862654.526787</v>
      </c>
    </row>
    <row r="14" spans="1:2" x14ac:dyDescent="0.25">
      <c r="A14" s="19" t="s">
        <v>65</v>
      </c>
      <c r="B14" s="24">
        <f>B13/Assumptions!B31</f>
        <v>139.71305959690537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2491727228.159827</v>
      </c>
    </row>
    <row r="18" spans="1:2" x14ac:dyDescent="0.25">
      <c r="A18" t="s">
        <v>60</v>
      </c>
      <c r="B18" s="18">
        <f>B17*Assumptions!B13</f>
        <v>17028791710.815073</v>
      </c>
    </row>
    <row r="19" spans="1:2" x14ac:dyDescent="0.25">
      <c r="A19" t="s">
        <v>61</v>
      </c>
      <c r="B19" s="18">
        <f>B18/(1+Assumptions!B26)^(5-0.5*Assumptions!B32)</f>
        <v>10729596192.678936</v>
      </c>
    </row>
    <row r="20" spans="1:2" x14ac:dyDescent="0.25">
      <c r="A20" t="s">
        <v>62</v>
      </c>
      <c r="B20" s="18">
        <f>Forecast!B17+B19</f>
        <v>16165927774.81915</v>
      </c>
    </row>
    <row r="21" spans="1:2" x14ac:dyDescent="0.25">
      <c r="A21" t="s">
        <v>63</v>
      </c>
      <c r="B21" s="18">
        <f>-Assumptions!B30</f>
        <v>1532055000.000002</v>
      </c>
    </row>
    <row r="22" spans="1:2" x14ac:dyDescent="0.25">
      <c r="A22" t="s">
        <v>64</v>
      </c>
      <c r="B22" s="18">
        <f>B20+B21</f>
        <v>17697982774.819153</v>
      </c>
    </row>
    <row r="23" spans="1:2" x14ac:dyDescent="0.25">
      <c r="A23" s="19" t="s">
        <v>65</v>
      </c>
      <c r="B23" s="25">
        <f>B22/Assumptions!B31</f>
        <v>121.38117879921232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78.43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139.71305959690537</v>
      </c>
    </row>
    <row r="29" spans="1:2" x14ac:dyDescent="0.25">
      <c r="A29" s="19" t="s">
        <v>73</v>
      </c>
      <c r="B29" s="12">
        <f>B28/B26-1</f>
        <v>0.7813726838825112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0.088097</v>
      </c>
      <c r="B5" s="31">
        <v>165.26747418278612</v>
      </c>
      <c r="C5" s="31">
        <v>172.55986365779367</v>
      </c>
      <c r="D5" s="31">
        <v>180.98881531379737</v>
      </c>
      <c r="E5" s="31">
        <v>190.84777687985272</v>
      </c>
      <c r="F5" s="31">
        <v>202.5407287814222</v>
      </c>
    </row>
    <row r="6" spans="1:6" x14ac:dyDescent="0.25">
      <c r="A6" s="30">
        <v>0.098097</v>
      </c>
      <c r="B6" s="31">
        <v>146.3255951812975</v>
      </c>
      <c r="C6" s="31">
        <v>151.57247597234775</v>
      </c>
      <c r="D6" s="31">
        <v>157.5212650213573</v>
      </c>
      <c r="E6" s="31">
        <v>164.32657448259712</v>
      </c>
      <c r="F6" s="31">
        <v>172.1920242775128</v>
      </c>
    </row>
    <row r="7" spans="1:6" x14ac:dyDescent="0.25">
      <c r="A7" s="30">
        <v>0.108097</v>
      </c>
      <c r="B7" s="31">
        <v>131.47059328146565</v>
      </c>
      <c r="C7" s="31">
        <v>135.3644398711693</v>
      </c>
      <c r="D7" s="32">
        <v>139.71345899513685</v>
      </c>
      <c r="E7" s="31">
        <v>144.60507511287335</v>
      </c>
      <c r="F7" s="31">
        <v>150.15063280632512</v>
      </c>
    </row>
    <row r="8" spans="1:6" x14ac:dyDescent="0.25">
      <c r="A8" s="30">
        <v>0.118097</v>
      </c>
      <c r="B8" s="31">
        <v>119.5125900742367</v>
      </c>
      <c r="C8" s="31">
        <v>122.47364146819758</v>
      </c>
      <c r="D8" s="31">
        <v>125.74125159207472</v>
      </c>
      <c r="E8" s="31">
        <v>129.36761723972873</v>
      </c>
      <c r="F8" s="31">
        <v>133.41749806381443</v>
      </c>
    </row>
    <row r="9" spans="1:6" x14ac:dyDescent="0.25">
      <c r="A9" s="30">
        <v>0.128097</v>
      </c>
      <c r="B9" s="31">
        <v>109.68256925498652</v>
      </c>
      <c r="C9" s="31">
        <v>111.97902281752273</v>
      </c>
      <c r="D9" s="31">
        <v>114.48824471527696</v>
      </c>
      <c r="E9" s="31">
        <v>117.24276932777433</v>
      </c>
      <c r="F9" s="31">
        <v>120.2821203853299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5472296000</v>
      </c>
      <c r="C5" s="18">
        <v>4985612000</v>
      </c>
      <c r="D5" s="18">
        <v>4287763000</v>
      </c>
      <c r="E5" s="18">
        <v>3627286000</v>
      </c>
      <c r="F5" s="8" t="s">
        <v>84</v>
      </c>
    </row>
    <row r="6" spans="1:6" x14ac:dyDescent="0.25">
      <c r="A6" t="s">
        <v>44</v>
      </c>
      <c r="B6" s="18">
        <v>1262903000</v>
      </c>
      <c r="C6" s="18">
        <v>1179092000</v>
      </c>
      <c r="D6" s="18">
        <v>927514000</v>
      </c>
      <c r="E6" s="18">
        <v>652751000</v>
      </c>
      <c r="F6" s="8" t="s">
        <v>85</v>
      </c>
    </row>
    <row r="7" spans="1:6" x14ac:dyDescent="0.25">
      <c r="A7" t="s">
        <v>86</v>
      </c>
      <c r="B7" s="18">
        <v>75773000</v>
      </c>
      <c r="C7" s="18">
        <v>69353000</v>
      </c>
      <c r="D7" s="18">
        <v>57587000</v>
      </c>
      <c r="E7" s="18">
        <v>47345000</v>
      </c>
      <c r="F7" s="8" t="s">
        <v>87</v>
      </c>
    </row>
    <row r="8" spans="1:6" x14ac:dyDescent="0.25">
      <c r="A8" t="s">
        <v>88</v>
      </c>
      <c r="B8" s="18">
        <v>84623000</v>
      </c>
      <c r="C8" s="18">
        <v>86171000</v>
      </c>
      <c r="D8" s="18">
        <v>89365000</v>
      </c>
      <c r="E8" s="18">
        <v>81025000</v>
      </c>
      <c r="F8" s="8" t="s">
        <v>89</v>
      </c>
    </row>
    <row r="9" spans="1:6" x14ac:dyDescent="0.25">
      <c r="A9" t="s">
        <v>90</v>
      </c>
      <c r="B9" s="18">
        <v>-18593000</v>
      </c>
      <c r="C9" s="18">
        <v>38204000</v>
      </c>
      <c r="D9" s="18">
        <v>-167806000</v>
      </c>
      <c r="E9" s="18">
        <v>54302000</v>
      </c>
      <c r="F9" s="8" t="s">
        <v>91</v>
      </c>
    </row>
    <row r="10" spans="1:6" x14ac:dyDescent="0.25">
      <c r="A10" t="s">
        <v>92</v>
      </c>
      <c r="B10" s="18">
        <v>375194000</v>
      </c>
      <c r="C10" s="18">
        <v>276975000</v>
      </c>
      <c r="D10" s="18">
        <v>266879000</v>
      </c>
      <c r="E10" s="18">
        <v>246488000</v>
      </c>
      <c r="F10" s="8" t="s">
        <v>93</v>
      </c>
    </row>
    <row r="11" spans="1:6" x14ac:dyDescent="0.25">
      <c r="A11" t="s">
        <v>94</v>
      </c>
      <c r="B11" s="18">
        <v>1907249000</v>
      </c>
      <c r="C11" s="18">
        <v>1889188000</v>
      </c>
      <c r="D11" s="18">
        <v>1502051000</v>
      </c>
      <c r="E11" s="18">
        <v>981795000</v>
      </c>
      <c r="F11" s="8" t="s">
        <v>95</v>
      </c>
    </row>
    <row r="12" spans="1:6" x14ac:dyDescent="0.25">
      <c r="A12" t="s">
        <v>32</v>
      </c>
      <c r="B12" s="34">
        <v>145805000</v>
      </c>
      <c r="C12" s="34">
        <v>152670000</v>
      </c>
      <c r="D12" s="34">
        <v>156288000</v>
      </c>
      <c r="E12" s="34">
        <v>160116000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2026-09-19T00:06:05Z</dcterms:modified>
</cp:coreProperties>
</file>