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<sst xmlns="http://schemas.openxmlformats.org/spreadsheetml/2006/main" count="120" uniqueCount="107">
  <si>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Dell Technologies Inc. (DELL)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</si>
  <si>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</si>
  <si>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</si>
  <si>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</si>
  <si>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</si>
  <si>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</si>
  <si>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</si>
  <si>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</si>
  <si>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</si>
  <si>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</si>
  <si>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</si>
  <si>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</si>
  <si>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</si>
  <si>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</si>
  <si>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</si>
  <si>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</si>
  <si>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</si>
  <si>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</si>
  <si>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</si>
  <si>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</si>
  <si>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</si>
  <si>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</si>
  <si>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</si>
  <si>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</si>
  <si>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5.4x interest cover. Book interest / average debt was lower, at 5.6%.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</si>
  <si>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</si>
  <si>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</si>
  <si>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</si>
  <si>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</si>
  <si>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</si>
  <si>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</si>
  <si>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</si>
  <si>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</si>
  <si>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</si>
  <si>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</si>
  <si>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</si>
  <si>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</si>
  <si>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</si>
  <si>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</si>
  <si>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</si>
  <si>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</si>
  <si>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</si>
  <si>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</si>
  <si>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</si>
  <si>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</si>
  <si>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</si>
  <si>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</si>
  <si>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</si>
  <si>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</si>
  <si>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</si>
  <si>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</si>
  <si>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</si>
  <si>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</si>
  <si>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</si>
  <si>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</si>
  <si>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</si>
  <si>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</si>
  <si>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</si>
  <si>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</si>
  <si>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</si>
  <si>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</si>
  <si>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</si>
  <si>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</si>
  <si>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</si>
  <si>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</si>
  <si>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</si>
  <si>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</si>
  <si>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</si>
  <si>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</si>
  <si>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</si>
  <si>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</si>
  <si>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</si>
  <si>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</si>
  <si>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</si>
  <si>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</si>
  <si>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</si>
  <si>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</si>
  <si>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</si>
  <si>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</si>
  <si>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</si>
  <si>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</si>
  <si>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</si>
  <si>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</si>
  <si>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</si>
  <si>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</si>
  <si>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</si>
  <si>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</si>
  <si>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</si>
  <si>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</si>
  <si>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</si>
  <si>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</si>
  <si>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</si>
  <si>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</si>
  <si>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</si>
  <si>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</si>
  <si>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</si>
  <si>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</si>
  <si>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</si>
  <si>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</si>
  <si>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</si>
  <si>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</si>
  <si>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</si>
  <si>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</si>
  <si>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</si>
  <si>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</si>
  <si>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25.3x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</si>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</sst>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0.06688625847668467</v>
      </c>
    </row>
    <row r="8" spans="1:2" x14ac:dyDescent="0.25">
      <c r="A8" t="s">
        <v>5</v>
      </c>
      <c r="B8" s="5">
        <v>0.17882590891669453</v>
      </c>
    </row>
    <row r="9" spans="1:2" x14ac:dyDescent="0.25">
      <c r="A9" t="s">
        <v>6</v>
      </c>
      <c r="B9" s="5">
        <v>0.03189019122920979</v>
      </c>
    </row>
    <row r="10" spans="1:3" x14ac:dyDescent="0.25">
      <c r="A10" t="s">
        <v>7</v>
      </c>
      <c r="B10" s="5">
        <v>0.027865711612397946</v>
      </c>
      <c r="C10" s="6" t="s">
        <v>8</v>
      </c>
    </row>
    <row r="11" spans="1:2" x14ac:dyDescent="0.25">
      <c r="A11" t="s">
        <v>9</v>
      </c>
      <c r="B11" s="5">
        <v>-0.044672091917825965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0.22087841960861082</v>
      </c>
      <c r="C14" s="6" t="s">
        <v>13</v>
      </c>
    </row>
    <row r="15" spans="1:3" x14ac:dyDescent="0.25">
      <c r="A15" t="s">
        <v>14</v>
      </c>
      <c r="B15" s="5">
        <v>0.03189019122920979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1.2961399999999998</v>
      </c>
      <c r="C19" s="6" t="s">
        <v>21</v>
      </c>
    </row>
    <row r="20" spans="1:2" x14ac:dyDescent="0.25">
      <c r="A20" t="s">
        <v>22</v>
      </c>
      <c r="B20" s="9">
        <f>B17+B19*B18</f>
        <v>0.10376672199999999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269775339520</v>
      </c>
    </row>
    <row r="23" spans="1:2" x14ac:dyDescent="0.25">
      <c r="A23" t="s">
        <v>26</v>
      </c>
      <c r="B23" s="10">
        <v>31503000000</v>
      </c>
    </row>
    <row r="24" spans="1:2" x14ac:dyDescent="0.25">
      <c r="A24" t="s">
        <v>27</v>
      </c>
      <c r="B24" s="9">
        <f>B22/(B22+B23)</f>
        <v>0.8954355628413548</v>
      </c>
    </row>
    <row r="25" spans="1:2" x14ac:dyDescent="0.25">
      <c r="A25" t="s">
        <v>28</v>
      </c>
      <c r="B25" s="9">
        <f>1-B24</f>
        <v>0.10456443715864516</v>
      </c>
    </row>
    <row r="26" spans="1:2" x14ac:dyDescent="0.25">
      <c r="A26" t="s">
        <v>29</v>
      </c>
      <c r="B26" s="11">
        <f>B24*B20+B25*B21*(1-B8)</f>
        <v>0.09778842763921822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113538000000</v>
      </c>
      <c r="C29" s="6" t="s">
        <v>32</v>
      </c>
    </row>
    <row r="30" spans="1:2" x14ac:dyDescent="0.25">
      <c r="A30" t="s">
        <v>33</v>
      </c>
      <c r="B30" s="10">
        <v>19975000000</v>
      </c>
    </row>
    <row r="31" spans="1:2" x14ac:dyDescent="0.25">
      <c r="A31" t="s">
        <v>34</v>
      </c>
      <c r="B31" s="12">
        <v>683870968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0.1923600260442775</v>
      </c>
      <c r="D5" s="5">
        <v>0.1714400227887428</v>
      </c>
      <c r="E5" s="5">
        <v>0.15052001953320812</v>
      </c>
      <c r="F5" s="5">
        <v>0.12960001627767342</v>
      </c>
      <c r="G5" s="5">
        <v>0.10868001302213874</v>
      </c>
      <c r="H5" s="5">
        <v>0.08776000976660406</v>
      </c>
      <c r="I5" s="5">
        <v>0.06684000651106936</v>
      </c>
      <c r="J5" s="5">
        <v>0.04592000325553469</v>
      </c>
      <c r="K5" s="5">
        <v>0.024999999999999994</v>
      </c>
    </row>
    <row r="6" spans="1:11" x14ac:dyDescent="0.25">
      <c r="A6" t="s">
        <v>50</v>
      </c>
      <c r="B6" s="18">
        <f>Assumptions!B29*(1+B5)</f>
        <v>170307000000</v>
      </c>
      <c r="C6" s="18">
        <f>B6*(1+C5)</f>
        <v>203067258955.52277</v>
      </c>
      <c r="D6" s="18">
        <f>C6*(1+D5)</f>
        <v>237881114458.5051</v>
      </c>
      <c r="E6" s="18">
        <f>D6*(1+E5)</f>
        <v>273686984453.3806</v>
      </c>
      <c r="F6" s="18">
        <f>E6*(1+F5)</f>
        <v>309156822093.52606</v>
      </c>
      <c r="G6" s="18">
        <f>F6*(1+G5)</f>
        <v>342755989544.5335</v>
      </c>
      <c r="H6" s="18">
        <f>G6*(1+H5)</f>
        <v>372836258534.5238</v>
      </c>
      <c r="I6" s="18">
        <f>H6*(1+I5)</f>
        <v>397756636482.5342</v>
      </c>
      <c r="J6" s="18">
        <f>I6*(1+J5)</f>
        <v>416021622524.72266</v>
      </c>
      <c r="K6" s="18">
        <f>J6*(1+K5)</f>
        <v>426422163087.8407</v>
      </c>
    </row>
    <row r="7" spans="1:11" x14ac:dyDescent="0.25">
      <c r="A7" t="s">
        <v>4</v>
      </c>
      <c r="B7" s="9">
        <f>Assumptions!B7</f>
        <v>0.06688625847668467</v>
      </c>
      <c r="C7" s="9">
        <f>Assumptions!B7</f>
        <v>0.06688625847668467</v>
      </c>
      <c r="D7" s="9">
        <f>Assumptions!B7</f>
        <v>0.06688625847668467</v>
      </c>
      <c r="E7" s="9">
        <f>Assumptions!B7</f>
        <v>0.06688625847668467</v>
      </c>
      <c r="F7" s="9">
        <f>Assumptions!B7</f>
        <v>0.06688625847668467</v>
      </c>
      <c r="G7" s="9">
        <f>Assumptions!B7</f>
        <v>0.06688625847668467</v>
      </c>
      <c r="H7" s="9">
        <f>Assumptions!B7</f>
        <v>0.06688625847668467</v>
      </c>
      <c r="I7" s="9">
        <f>Assumptions!B7</f>
        <v>0.06688625847668467</v>
      </c>
      <c r="J7" s="9">
        <f>Assumptions!B7</f>
        <v>0.06688625847668467</v>
      </c>
      <c r="K7" s="9">
        <f>Assumptions!B7</f>
        <v>0.06688625847668467</v>
      </c>
    </row>
    <row r="8" spans="1:11" x14ac:dyDescent="0.25">
      <c r="A8" t="s">
        <v>51</v>
      </c>
      <c r="B8" s="18">
        <f>B6*B7</f>
        <v>11391198022.388735</v>
      </c>
      <c r="C8" s="18">
        <f>C6*C7</f>
        <v>13582409170.650955</v>
      </c>
      <c r="D8" s="18">
        <f>D6*D7</f>
        <v>15910977708.393383</v>
      </c>
      <c r="E8" s="18">
        <f>E6*E7</f>
        <v>18305898383.853195</v>
      </c>
      <c r="F8" s="18">
        <f>F6*F7</f>
        <v>20678343112.378002</v>
      </c>
      <c r="G8" s="18">
        <f>G6*G7</f>
        <v>22925665711.107494</v>
      </c>
      <c r="H8" s="18">
        <f>H6*H7</f>
        <v>24937622357.82019</v>
      </c>
      <c r="I8" s="18">
        <f>I6*I7</f>
        <v>26604453198.587482</v>
      </c>
      <c r="J8" s="18">
        <f>J6*J7</f>
        <v>27826129776.07834</v>
      </c>
      <c r="K8" s="18">
        <f>K6*K7</f>
        <v>28521783020.480297</v>
      </c>
    </row>
    <row r="9" spans="1:11" x14ac:dyDescent="0.25">
      <c r="A9" t="s">
        <v>52</v>
      </c>
      <c r="B9" s="18">
        <f>B8*(1-Assumptions!B8)</f>
        <v>9354156682.385015</v>
      </c>
      <c r="C9" s="18">
        <f>C8*(1-Assumptions!B8)</f>
        <v>11153522505.430851</v>
      </c>
      <c r="D9" s="18">
        <f>D8*(1-Assumptions!B8)</f>
        <v>13065682657.93667</v>
      </c>
      <c r="E9" s="18">
        <f>E8*(1-Assumptions!B8)</f>
        <v>15032329466.823997</v>
      </c>
      <c r="F9" s="18">
        <f>F8*(1-Assumptions!B8)</f>
        <v>16980519610.415735</v>
      </c>
      <c r="G9" s="18">
        <f>G8*(1-Assumptions!B8)</f>
        <v>18825962702.798397</v>
      </c>
      <c r="H9" s="18">
        <f>H8*(1-Assumptions!B8)</f>
        <v>20478129373.46171</v>
      </c>
      <c r="I9" s="18">
        <f>I8*(1-Assumptions!B8)</f>
        <v>21846887674.118412</v>
      </c>
      <c r="J9" s="18">
        <f>J8*(1-Assumptions!B8)</f>
        <v>22850096827.237232</v>
      </c>
      <c r="K9" s="18">
        <f>K8*(1-Assumptions!B8)</f>
        <v>23421349247.91816</v>
      </c>
    </row>
    <row r="10" spans="1:11" x14ac:dyDescent="0.25">
      <c r="A10" t="s">
        <v>53</v>
      </c>
      <c r="B10" s="18">
        <f>B6*Assumptions!B9</f>
        <v>5431122797.673032</v>
      </c>
      <c r="C10" s="18">
        <f>C6*Assumptions!B9</f>
        <v>6475853720.483085</v>
      </c>
      <c r="D10" s="18">
        <f>D6*Assumptions!B9</f>
        <v>7586074229.899269</v>
      </c>
      <c r="E10" s="18">
        <f>E6*Assumptions!B9</f>
        <v>8727930271.164074</v>
      </c>
      <c r="F10" s="18">
        <f>F6*Assumptions!B9</f>
        <v>9859070176.377337</v>
      </c>
      <c r="G10" s="18">
        <f>G6*Assumptions!B9</f>
        <v>10930554051.532204</v>
      </c>
      <c r="H10" s="18">
        <f>H6*Assumptions!B9</f>
        <v>11889819581.849064</v>
      </c>
      <c r="I10" s="18">
        <f>I6*Assumptions!B9</f>
        <v>12684535200.115297</v>
      </c>
      <c r="J10" s="18">
        <f>J6*Assumptions!B9</f>
        <v>13267009097.799536</v>
      </c>
      <c r="K10" s="18">
        <f>K6*Assumptions!B9</f>
        <v>13598684325.244524</v>
      </c>
    </row>
    <row r="11" spans="1:11" x14ac:dyDescent="0.25">
      <c r="A11" t="s">
        <v>54</v>
      </c>
      <c r="B11" s="18">
        <f>-B6*B19</f>
        <v>-4745725747.572657</v>
      </c>
      <c r="C11" s="18">
        <f>-C6*C19</f>
        <v>-5889685368.377376</v>
      </c>
      <c r="D11" s="18">
        <f>-D6*D19</f>
        <v>-7170099790.764503</v>
      </c>
      <c r="E11" s="18">
        <f>-E6*E19</f>
        <v>-8560773736.565769</v>
      </c>
      <c r="F11" s="18">
        <f>-F6*F19</f>
        <v>-10022041920.411024</v>
      </c>
      <c r="G11" s="18">
        <f>-G6*G19</f>
        <v>-11501262069.01963</v>
      </c>
      <c r="H11" s="18">
        <f>-H6*H19</f>
        <v>-12934865996.836382</v>
      </c>
      <c r="I11" s="18">
        <f>-I6*I19</f>
        <v>-14252042657.642242</v>
      </c>
      <c r="J11" s="18">
        <f>-J6*J19</f>
        <v>-15379890495.033964</v>
      </c>
      <c r="K11" s="18">
        <f>-K6*K19</f>
        <v>-16249616599.368452</v>
      </c>
    </row>
    <row r="12" spans="1:11" x14ac:dyDescent="0.25">
      <c r="A12" t="s">
        <v>55</v>
      </c>
      <c r="B12" s="18">
        <f>-(B6-Assumptions!B29)*Assumptions!B11</f>
        <v>2535989986.083062</v>
      </c>
      <c r="C12" s="18">
        <f>-(C6-B6)*Assumptions!B11</f>
        <v>1463469299.3128943</v>
      </c>
      <c r="D12" s="18">
        <f>-(D6-C6)*Assumptions!B11</f>
        <v>1555207753.043138</v>
      </c>
      <c r="E12" s="18">
        <f>-(E6-D6)*Assumptions!B11</f>
        <v>1599523115.608806</v>
      </c>
      <c r="F12" s="18">
        <f>-(F6-E6)*Assumptions!B11</f>
        <v>1584511847.3709407</v>
      </c>
      <c r="G12" s="18">
        <f>-(G6-F6)*Assumptions!B11</f>
        <v>1500945096.733831</v>
      </c>
      <c r="H12" s="18">
        <f>-(H6-G6)*Assumptions!B11</f>
        <v>1343748541.2337766</v>
      </c>
      <c r="I12" s="18">
        <f>-(I6-H6)*Assumptions!B11</f>
        <v>1113245414.3204827</v>
      </c>
      <c r="J12" s="18">
        <f>-(J6-I6)*Assumptions!B11</f>
        <v>815935135.3544519</v>
      </c>
      <c r="K12" s="18">
        <f>-(K6-J6)*Assumptions!B11</f>
        <v>464613904.0306866</v>
      </c>
    </row>
    <row r="13" spans="1:11" x14ac:dyDescent="0.25">
      <c r="A13" s="19" t="s">
        <v>56</v>
      </c>
      <c r="B13" s="20">
        <f>B9+B10+B11+B12</f>
        <v>12575543718.568455</v>
      </c>
      <c r="C13" s="20">
        <f>C9+C10+C11+C12</f>
        <v>13203160156.849455</v>
      </c>
      <c r="D13" s="20">
        <f>D9+D10+D11+D12</f>
        <v>15036864850.114573</v>
      </c>
      <c r="E13" s="20">
        <f>E9+E10+E11+E12</f>
        <v>16799009117.031109</v>
      </c>
      <c r="F13" s="20">
        <f>F9+F10+F11+F12</f>
        <v>18402059713.752987</v>
      </c>
      <c r="G13" s="20">
        <f>G9+G10+G11+G12</f>
        <v>19756199782.0448</v>
      </c>
      <c r="H13" s="20">
        <f>H9+H10+H11+H12</f>
        <v>20776831499.70817</v>
      </c>
      <c r="I13" s="20">
        <f>I9+I10+I11+I12</f>
        <v>21392625630.911953</v>
      </c>
      <c r="J13" s="20">
        <f>J9+J10+J11+J12</f>
        <v>21553150565.35725</v>
      </c>
      <c r="K13" s="20">
        <f>K9+K10+K11+K12</f>
        <v>21235030877.824913</v>
      </c>
    </row>
    <row r="14" spans="1:11" x14ac:dyDescent="0.25">
      <c r="A14" t="s">
        <v>57</v>
      </c>
      <c r="B14" s="21">
        <f>1/(1+Assumptions!$B$26)^(1-0.5*Assumptions!$B$32)</f>
        <v>0.95442251490972</v>
      </c>
      <c r="C14" s="21">
        <f>1/(1+Assumptions!$B$26)^(2-0.5*Assumptions!$B$32)</f>
        <v>0.8694047877350964</v>
      </c>
      <c r="D14" s="21">
        <f>1/(1+Assumptions!$B$26)^(3-0.5*Assumptions!$B$32)</f>
        <v>0.7919602410136003</v>
      </c>
      <c r="E14" s="21">
        <f>1/(1+Assumptions!$B$26)^(4-0.5*Assumptions!$B$32)</f>
        <v>0.7214142735287362</v>
      </c>
      <c r="F14" s="21">
        <f>1/(1+Assumptions!$B$26)^(5-0.5*Assumptions!$B$32)</f>
        <v>0.6571523759638546</v>
      </c>
      <c r="G14" s="21">
        <f>1/(1+Assumptions!$B$26)^(6-0.5*Assumptions!$B$32)</f>
        <v>0.5986147780561445</v>
      </c>
      <c r="H14" s="21">
        <f>1/(1+Assumptions!$B$26)^(7-0.5*Assumptions!$B$32)</f>
        <v>0.5452915725696424</v>
      </c>
      <c r="I14" s="21">
        <f>1/(1+Assumptions!$B$26)^(8-0.5*Assumptions!$B$32)</f>
        <v>0.49671827361332815</v>
      </c>
      <c r="J14" s="21">
        <f>1/(1+Assumptions!$B$26)^(9-0.5*Assumptions!$B$32)</f>
        <v>0.45247177061386523</v>
      </c>
      <c r="K14" s="21">
        <f>1/(1+Assumptions!$B$26)^(10-0.5*Assumptions!$B$32)</f>
        <v>0.412166642698995</v>
      </c>
    </row>
    <row r="15" spans="1:11" x14ac:dyDescent="0.25">
      <c r="A15" s="19" t="s">
        <v>58</v>
      </c>
      <c r="B15" s="20">
        <f>B13*B14</f>
        <v>12002382062.233236</v>
      </c>
      <c r="C15" s="20">
        <f>C13*C14</f>
        <v>11478890653.598183</v>
      </c>
      <c r="D15" s="20">
        <f>D13*D14</f>
        <v>11908599110.785671</v>
      </c>
      <c r="E15" s="20">
        <f>E13*E14</f>
        <v>12119044958.165613</v>
      </c>
      <c r="F15" s="20">
        <f>F13*F14</f>
        <v>12092957263.521505</v>
      </c>
      <c r="G15" s="20">
        <f>G13*G14</f>
        <v>11826353147.761599</v>
      </c>
      <c r="H15" s="20">
        <f>H13*H14</f>
        <v>11329431121.490353</v>
      </c>
      <c r="I15" s="20">
        <f>I13*I14</f>
        <v>10626108071.44282</v>
      </c>
      <c r="J15" s="20">
        <f>J13*J14</f>
        <v>9752192198.614426</v>
      </c>
      <c r="K15" s="20">
        <f>K13*K14</f>
        <v>8752371384.522587</v>
      </c>
    </row>
    <row r="17" spans="1:2" x14ac:dyDescent="0.25">
      <c r="A17" s="22" t="s">
        <v>59</v>
      </c>
      <c r="B17" s="23">
        <f>SUM(B15:K15)</f>
        <v>111888329972.136</v>
      </c>
    </row>
    <row r="19" spans="1:11" x14ac:dyDescent="0.25">
      <c r="A19" t="s">
        <v>7</v>
      </c>
      <c r="B19" s="9">
        <f>Assumptions!$B$10+($B$20-Assumptions!$B$10)*0/9</f>
        <v>0.027865711612397946</v>
      </c>
      <c r="C19" s="9">
        <f>Assumptions!$B$10+($B$20-Assumptions!$B$10)*1/9</f>
        <v>0.029003618794437837</v>
      </c>
      <c r="D19" s="9">
        <f>Assumptions!$B$10+($B$20-Assumptions!$B$10)*2/9</f>
        <v>0.030141525976477727</v>
      </c>
      <c r="E19" s="9">
        <f>Assumptions!$B$10+($B$20-Assumptions!$B$10)*3/9</f>
        <v>0.03127943315851762</v>
      </c>
      <c r="F19" s="9">
        <f>Assumptions!$B$10+($B$20-Assumptions!$B$10)*4/9</f>
        <v>0.03241734034055751</v>
      </c>
      <c r="G19" s="9">
        <f>Assumptions!$B$10+($B$20-Assumptions!$B$10)*5/9</f>
        <v>0.033555247522597406</v>
      </c>
      <c r="H19" s="9">
        <f>Assumptions!$B$10+($B$20-Assumptions!$B$10)*6/9</f>
        <v>0.0346931547046373</v>
      </c>
      <c r="I19" s="9">
        <f>Assumptions!$B$10+($B$20-Assumptions!$B$10)*7/9</f>
        <v>0.03583106188667719</v>
      </c>
      <c r="J19" s="9">
        <f>Assumptions!$B$10+($B$20-Assumptions!$B$10)*8/9</f>
        <v>0.03696896906871708</v>
      </c>
      <c r="K19" s="9">
        <f>Assumptions!$B$10+($B$20-Assumptions!$B$10)*9/9</f>
        <v>0.03810687625075697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0.03810687625075697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21235030877.824913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23421349247.91816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0.11318443895197713</v>
      </c>
    </row>
    <row r="7" spans="1:2" x14ac:dyDescent="0.25">
      <c r="A7" t="s">
        <v>66</v>
      </c>
      <c r="B7" s="18">
        <f>-MAX(B5,0)*B6</f>
        <v>-2650932274.1239285</v>
      </c>
    </row>
    <row r="8" spans="1:2" x14ac:dyDescent="0.25">
      <c r="A8" t="s">
        <v>67</v>
      </c>
      <c r="B8" s="18">
        <f>IF(OR(Assumptions!$B$33=0,Assumptions!B12&lt;=0),B5,MAX(B5+B7,0))</f>
        <v>20770416973.79423</v>
      </c>
    </row>
    <row r="9" spans="1:2" x14ac:dyDescent="0.25">
      <c r="A9" t="s">
        <v>68</v>
      </c>
      <c r="B9" s="18">
        <f>B8*(1+Assumptions!B12)/(Assumptions!B26-Assumptions!B12)</f>
        <v>292487117645.4464</v>
      </c>
    </row>
    <row r="10" spans="1:2" x14ac:dyDescent="0.25">
      <c r="A10" t="s">
        <v>69</v>
      </c>
      <c r="B10" s="18">
        <f>B9/(1+Assumptions!B26)^(10-0.5*Assumptions!B32)</f>
        <v>120553433312.62962</v>
      </c>
    </row>
    <row r="11" spans="1:2" x14ac:dyDescent="0.25">
      <c r="A11" t="s">
        <v>70</v>
      </c>
      <c r="B11" s="18">
        <f>Forecast!B17+B10</f>
        <v>232441763284.76562</v>
      </c>
    </row>
    <row r="12" spans="1:2" x14ac:dyDescent="0.25">
      <c r="A12" t="s">
        <v>71</v>
      </c>
      <c r="B12" s="18">
        <f>-Assumptions!B30</f>
        <v>-19975000000</v>
      </c>
    </row>
    <row r="13" spans="1:2" x14ac:dyDescent="0.25">
      <c r="A13" t="s">
        <v>72</v>
      </c>
      <c r="B13" s="18">
        <f>B11+B12</f>
        <v>212466763284.76562</v>
      </c>
    </row>
    <row r="14" spans="1:2" x14ac:dyDescent="0.25">
      <c r="A14" s="19" t="s">
        <v>73</v>
      </c>
      <c r="B14" s="24">
        <f>B13/Assumptions!B31</f>
        <v>310.68253110105064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42120467345.72482</v>
      </c>
    </row>
    <row r="18" spans="1:2" x14ac:dyDescent="0.25">
      <c r="A18" t="s">
        <v>68</v>
      </c>
      <c r="B18" s="18">
        <f>B17*Assumptions!B13</f>
        <v>842409346914.4965</v>
      </c>
    </row>
    <row r="19" spans="1:2" x14ac:dyDescent="0.25">
      <c r="A19" t="s">
        <v>69</v>
      </c>
      <c r="B19" s="18">
        <f>B18/(1+Assumptions!B26)^(10-0.5*Assumptions!B32)</f>
        <v>347213032296.001</v>
      </c>
    </row>
    <row r="20" spans="1:2" x14ac:dyDescent="0.25">
      <c r="A20" t="s">
        <v>70</v>
      </c>
      <c r="B20" s="18">
        <f>Forecast!B17+B19</f>
        <v>459101362268.13696</v>
      </c>
    </row>
    <row r="21" spans="1:2" x14ac:dyDescent="0.25">
      <c r="A21" t="s">
        <v>71</v>
      </c>
      <c r="B21" s="18">
        <f>-Assumptions!B30</f>
        <v>-19975000000</v>
      </c>
    </row>
    <row r="22" spans="1:2" x14ac:dyDescent="0.25">
      <c r="A22" t="s">
        <v>72</v>
      </c>
      <c r="B22" s="18">
        <f>B20+B21</f>
        <v>439126362268.13696</v>
      </c>
    </row>
    <row r="23" spans="1:2" x14ac:dyDescent="0.25">
      <c r="A23" s="19" t="s">
        <v>73</v>
      </c>
      <c r="B23" s="25">
        <f>B22/Assumptions!B31</f>
        <v>642.1187370365706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424.3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310.68253110105064</v>
      </c>
    </row>
    <row r="29" spans="1:2" x14ac:dyDescent="0.25">
      <c r="A29" s="19" t="s">
        <v>81</v>
      </c>
      <c r="B29" s="11">
        <f>B28/B26-1</f>
        <v>-0.26777626419738243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0.077788</v>
      </c>
      <c r="B5" s="31">
        <v>406.9136434197502</v>
      </c>
      <c r="C5" s="31">
        <v>421.48199454792103</v>
      </c>
      <c r="D5" s="31">
        <v>439.114298494821</v>
      </c>
      <c r="E5" s="31">
        <v>460.77228816998684</v>
      </c>
      <c r="F5" s="31">
        <v>487.8672304221606</v>
      </c>
    </row>
    <row r="6" spans="1:6" x14ac:dyDescent="0.25">
      <c r="A6" s="30">
        <v>0.087788</v>
      </c>
      <c r="B6" s="31">
        <v>345.63331077631153</v>
      </c>
      <c r="C6" s="31">
        <v>354.34449259012604</v>
      </c>
      <c r="D6" s="31">
        <v>364.68454190427383</v>
      </c>
      <c r="E6" s="31">
        <v>377.0762629775114</v>
      </c>
      <c r="F6" s="31">
        <v>392.10264960362395</v>
      </c>
    </row>
    <row r="7" spans="1:6" x14ac:dyDescent="0.25">
      <c r="A7" s="30">
        <v>0.097788</v>
      </c>
      <c r="B7" s="31">
        <v>299.2192851433092</v>
      </c>
      <c r="C7" s="31">
        <v>304.4913277101935</v>
      </c>
      <c r="D7" s="32">
        <v>310.6845234603902</v>
      </c>
      <c r="E7" s="31">
        <v>318.0027034222478</v>
      </c>
      <c r="F7" s="31">
        <v>326.71462537073774</v>
      </c>
    </row>
    <row r="8" spans="1:6" x14ac:dyDescent="0.25">
      <c r="A8" s="30">
        <v>0.107788</v>
      </c>
      <c r="B8" s="31">
        <v>262.86393407660995</v>
      </c>
      <c r="C8" s="31">
        <v>266.0176113520049</v>
      </c>
      <c r="D8" s="31">
        <v>269.7159221103451</v>
      </c>
      <c r="E8" s="31">
        <v>274.0638890060784</v>
      </c>
      <c r="F8" s="31">
        <v>279.1953918279184</v>
      </c>
    </row>
    <row r="9" spans="1:6" x14ac:dyDescent="0.25">
      <c r="A9" s="30">
        <v>0.117788</v>
      </c>
      <c r="B9" s="31">
        <v>233.63041065031624</v>
      </c>
      <c r="C9" s="31">
        <v>235.4335035066101</v>
      </c>
      <c r="D9" s="31">
        <v>237.56917757346358</v>
      </c>
      <c r="E9" s="31">
        <v>240.09425973106994</v>
      </c>
      <c r="F9" s="31">
        <v>243.07930514879305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113538000000</v>
      </c>
      <c r="C5" s="18">
        <v>95567000000</v>
      </c>
      <c r="D5" s="18">
        <v>88425000000</v>
      </c>
      <c r="E5" s="18">
        <v>102301000000</v>
      </c>
      <c r="F5" s="6" t="s">
        <v>91</v>
      </c>
    </row>
    <row r="6" spans="1:6" x14ac:dyDescent="0.25">
      <c r="A6" t="s">
        <v>51</v>
      </c>
      <c r="B6" s="18">
        <v>8446000000</v>
      </c>
      <c r="C6" s="18">
        <v>6656000000</v>
      </c>
      <c r="D6" s="18">
        <v>5933000000</v>
      </c>
      <c r="E6" s="18">
        <v>5771000000</v>
      </c>
      <c r="F6" s="6" t="s">
        <v>92</v>
      </c>
    </row>
    <row r="7" spans="1:6" x14ac:dyDescent="0.25">
      <c r="A7" t="s">
        <v>93</v>
      </c>
      <c r="B7" s="18">
        <v>3029000000</v>
      </c>
      <c r="C7" s="18">
        <v>3123000000</v>
      </c>
      <c r="D7" s="18">
        <v>3303000000</v>
      </c>
      <c r="E7" s="18">
        <v>3156000000</v>
      </c>
      <c r="F7" s="6" t="s">
        <v>94</v>
      </c>
    </row>
    <row r="8" spans="1:6" x14ac:dyDescent="0.25">
      <c r="A8" t="s">
        <v>95</v>
      </c>
      <c r="B8" s="18">
        <v>2633000000</v>
      </c>
      <c r="C8" s="18">
        <v>2652000000</v>
      </c>
      <c r="D8" s="18">
        <v>2756000000</v>
      </c>
      <c r="E8" s="18">
        <v>3003000000</v>
      </c>
      <c r="F8" s="6" t="s">
        <v>96</v>
      </c>
    </row>
    <row r="9" spans="1:6" x14ac:dyDescent="0.25">
      <c r="A9" t="s">
        <v>97</v>
      </c>
      <c r="B9" s="18">
        <v>-843000000</v>
      </c>
      <c r="C9" s="18">
        <v>4208000000</v>
      </c>
      <c r="D9" s="18">
        <v>-605000000</v>
      </c>
      <c r="E9" s="18">
        <v>3188000000</v>
      </c>
      <c r="F9" s="6" t="s">
        <v>98</v>
      </c>
    </row>
    <row r="10" spans="1:6" x14ac:dyDescent="0.25">
      <c r="A10" t="s">
        <v>99</v>
      </c>
      <c r="B10" s="18">
        <v>31503000000</v>
      </c>
      <c r="C10" s="18">
        <v>24567000000</v>
      </c>
      <c r="D10" s="18">
        <v>25994000000</v>
      </c>
      <c r="E10" s="18">
        <v>29588000000</v>
      </c>
      <c r="F10" s="6" t="s">
        <v>100</v>
      </c>
    </row>
    <row r="11" spans="1:6" x14ac:dyDescent="0.25">
      <c r="A11" t="s">
        <v>101</v>
      </c>
      <c r="B11" s="18">
        <v>11528000000</v>
      </c>
      <c r="C11" s="18">
        <v>3633000000</v>
      </c>
      <c r="D11" s="18">
        <v>7366000000</v>
      </c>
      <c r="E11" s="18">
        <v>8607000000</v>
      </c>
      <c r="F11" s="6" t="s">
        <v>102</v>
      </c>
    </row>
    <row r="12" spans="1:6" x14ac:dyDescent="0.25">
      <c r="A12" t="s">
        <v>34</v>
      </c>
      <c r="B12" s="34">
        <v>683870968</v>
      </c>
      <c r="C12" s="34">
        <v>719749216</v>
      </c>
      <c r="D12" s="34">
        <v>706335200</v>
      </c>
      <c r="E12" s="34">
        <v>753000000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