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<sst xmlns="http://schemas.openxmlformats.org/spreadsheetml/2006/main" count="112" uniqueCount="100">
  <si>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Dell Technologies Inc. (DELL)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</si>
  <si>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</si>
  <si>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</si>
  <si>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</si>
  <si>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</si>
  <si>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</si>
  <si>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</si>
  <si>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</si>
  <si>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</si>
  <si>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</si>
  <si>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</si>
  <si>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</si>
  <si>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</si>
  <si>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</si>
  <si>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</si>
  <si>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</si>
  <si>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</si>
  <si>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</si>
  <si>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</si>
  <si>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</si>
  <si>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</si>
  <si>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</si>
  <si>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</si>
  <si>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</si>
  <si>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</si>
  <si>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</si>
  <si>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</si>
  <si>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</si>
  <si>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</si>
  <si>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</si>
  <si>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</si>
  <si>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</si>
  <si>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</si>
  <si>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</si>
  <si>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</si>
  <si>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</si>
  <si>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</si>
  <si>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</si>
  <si>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</si>
  <si>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</si>
  <si>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</si>
  <si>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</si>
  <si>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</si>
  <si>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</si>
  <si>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</si>
  <si>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</si>
  <si>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</si>
  <si>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</si>
  <si>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</si>
  <si>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</si>
  <si>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</si>
  <si>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</si>
  <si>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</si>
  <si>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</si>
  <si>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</si>
  <si>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</si>
  <si>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</si>
  <si>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</si>
  <si>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</si>
  <si>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</si>
  <si>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</si>
  <si>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</si>
  <si>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</si>
  <si>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</si>
  <si>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</si>
  <si>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</si>
  <si>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</si>
  <si>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</si>
  <si>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</si>
  <si>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</si>
  <si>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</si>
  <si>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</si>
  <si>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</si>
  <si>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</si>
  <si>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</si>
  <si>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</si>
  <si>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</si>
  <si>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</si>
  <si>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</si>
  <si>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</si>
  <si>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</si>
  <si>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</si>
  <si>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</si>
  <si>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</si>
  <si>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</si>
  <si>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</si>
  <si>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</si>
  <si>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</si>
  <si>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</si>
  <si>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</si>
  <si>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</si>
  <si>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</si>
  <si>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</si>
  <si>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</si>
  <si>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</si>
  <si>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</si>
  <si>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</si>
  <si>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</si>
  <si>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33.2x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</si>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</sst>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0.035349838884853435</v>
      </c>
    </row>
    <row r="7" spans="1:2" x14ac:dyDescent="0.25">
      <c r="A7" t="s">
        <v>5</v>
      </c>
      <c r="B7" s="6">
        <v>0.06688625847668467</v>
      </c>
    </row>
    <row r="8" spans="1:2" x14ac:dyDescent="0.25">
      <c r="A8" t="s">
        <v>6</v>
      </c>
      <c r="B8" s="6">
        <v>0.17882590891669453</v>
      </c>
    </row>
    <row r="9" spans="1:2" x14ac:dyDescent="0.25">
      <c r="A9" t="s">
        <v>7</v>
      </c>
      <c r="B9" s="6">
        <v>0.03189019122920979</v>
      </c>
    </row>
    <row r="10" spans="1:2" x14ac:dyDescent="0.25">
      <c r="A10" t="s">
        <v>8</v>
      </c>
      <c r="B10" s="6">
        <v>0.027865711612397946</v>
      </c>
    </row>
    <row r="11" spans="1:2" x14ac:dyDescent="0.25">
      <c r="A11" t="s">
        <v>9</v>
      </c>
      <c r="B11" s="6">
        <v>0.0436004612280196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0.22087841960861082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1.27403</v>
      </c>
      <c r="C19" s="8" t="s">
        <v>19</v>
      </c>
    </row>
    <row r="20" spans="1:2" x14ac:dyDescent="0.25">
      <c r="A20" t="s">
        <v>20</v>
      </c>
      <c r="B20" s="10">
        <f>B17+B19*B18</f>
        <v>0.12005165000000001</v>
      </c>
    </row>
    <row r="21" spans="1:3" x14ac:dyDescent="0.25">
      <c r="A21" t="s">
        <v>21</v>
      </c>
      <c r="B21" s="6">
        <v>0.05564472980203317</v>
      </c>
      <c r="C21" s="8" t="s">
        <v>22</v>
      </c>
    </row>
    <row r="22" spans="1:2" x14ac:dyDescent="0.25">
      <c r="A22" t="s">
        <v>23</v>
      </c>
      <c r="B22" s="11">
        <v>361179774976</v>
      </c>
    </row>
    <row r="23" spans="1:2" x14ac:dyDescent="0.25">
      <c r="A23" t="s">
        <v>24</v>
      </c>
      <c r="B23" s="11">
        <v>31503000000</v>
      </c>
    </row>
    <row r="24" spans="1:2" x14ac:dyDescent="0.25">
      <c r="A24" t="s">
        <v>25</v>
      </c>
      <c r="B24" s="10">
        <f>B22/(B22+B23)</f>
        <v>0.9197749379204998</v>
      </c>
    </row>
    <row r="25" spans="1:2" x14ac:dyDescent="0.25">
      <c r="A25" t="s">
        <v>26</v>
      </c>
      <c r="B25" s="10">
        <f>1-B24</f>
        <v>0.0802250620795002</v>
      </c>
    </row>
    <row r="26" spans="1:2" x14ac:dyDescent="0.25">
      <c r="A26" t="s">
        <v>27</v>
      </c>
      <c r="B26" s="12">
        <f>B24*B20+B25*B21*(1-B8)</f>
        <v>0.11408630374850999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113538000000</v>
      </c>
      <c r="C29" s="8" t="s">
        <v>30</v>
      </c>
    </row>
    <row r="30" spans="1:2" x14ac:dyDescent="0.25">
      <c r="A30" t="s">
        <v>31</v>
      </c>
      <c r="B30" s="11">
        <v>19975000000</v>
      </c>
    </row>
    <row r="31" spans="1:2" x14ac:dyDescent="0.25">
      <c r="A31" t="s">
        <v>32</v>
      </c>
      <c r="B31" s="13">
        <v>684000000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0.035349838884853435</v>
      </c>
      <c r="C5" s="10">
        <f>Assumptions!B6</f>
        <v>0.035349838884853435</v>
      </c>
      <c r="D5" s="10">
        <f>Assumptions!B6</f>
        <v>0.035349838884853435</v>
      </c>
      <c r="E5" s="10">
        <f>Assumptions!B6</f>
        <v>0.035349838884853435</v>
      </c>
      <c r="F5" s="10">
        <f>Assumptions!B6</f>
        <v>0.035349838884853435</v>
      </c>
    </row>
    <row r="6" spans="1:6" x14ac:dyDescent="0.25">
      <c r="A6" t="s">
        <v>43</v>
      </c>
      <c r="B6" s="18">
        <f>Assumptions!B29*(1+B5)</f>
        <v>117551550007.30849</v>
      </c>
      <c r="C6" s="18">
        <f>B6*(1+C5)</f>
        <v>121706978360.73163</v>
      </c>
      <c r="D6" s="18">
        <f>C6*(1+D5)</f>
        <v>126009300436.94583</v>
      </c>
      <c r="E6" s="18">
        <f>D6*(1+E5)</f>
        <v>130463708905.38496</v>
      </c>
      <c r="F6" s="18">
        <f>E6*(1+F5)</f>
        <v>135075579995.51074</v>
      </c>
    </row>
    <row r="7" spans="1:6" x14ac:dyDescent="0.25">
      <c r="A7" t="s">
        <v>5</v>
      </c>
      <c r="B7" s="10">
        <f>Assumptions!B7</f>
        <v>0.06688625847668467</v>
      </c>
      <c r="C7" s="10">
        <f>Assumptions!B7</f>
        <v>0.06688625847668467</v>
      </c>
      <c r="D7" s="10">
        <f>Assumptions!B7</f>
        <v>0.06688625847668467</v>
      </c>
      <c r="E7" s="10">
        <f>Assumptions!B7</f>
        <v>0.06688625847668467</v>
      </c>
      <c r="F7" s="10">
        <f>Assumptions!B7</f>
        <v>0.06688625847668467</v>
      </c>
    </row>
    <row r="8" spans="1:6" x14ac:dyDescent="0.25">
      <c r="A8" t="s">
        <v>44</v>
      </c>
      <c r="B8" s="18">
        <f>B6*B7</f>
        <v>7862583358.123759</v>
      </c>
      <c r="C8" s="18">
        <f>C6*C7</f>
        <v>8140524413.052163</v>
      </c>
      <c r="D8" s="18">
        <f>D6*D7</f>
        <v>8428290639.491774</v>
      </c>
      <c r="E8" s="18">
        <f>E6*E7</f>
        <v>8726229355.672525</v>
      </c>
      <c r="F8" s="18">
        <f>F6*F7</f>
        <v>9034700157.467829</v>
      </c>
    </row>
    <row r="9" spans="1:6" x14ac:dyDescent="0.25">
      <c r="A9" t="s">
        <v>45</v>
      </c>
      <c r="B9" s="18">
        <f>B8*(1-Assumptions!B8)</f>
        <v>6456549742.674002</v>
      </c>
      <c r="C9" s="18">
        <f>C8*(1-Assumptions!B8)</f>
        <v>6684787735.829568</v>
      </c>
      <c r="D9" s="18">
        <f>D8*(1-Assumptions!B8)</f>
        <v>6921093905.270588</v>
      </c>
      <c r="E9" s="18">
        <f>E8*(1-Assumptions!B8)</f>
        <v>7165753459.728844</v>
      </c>
      <c r="F9" s="18">
        <f>F8*(1-Assumptions!B8)</f>
        <v>7419061690.018841</v>
      </c>
    </row>
    <row r="10" spans="1:6" x14ac:dyDescent="0.25">
      <c r="A10" t="s">
        <v>46</v>
      </c>
      <c r="B10" s="18">
        <f>B6*Assumptions!B9</f>
        <v>3748741409.023085</v>
      </c>
      <c r="C10" s="18">
        <f>C6*Assumptions!B9</f>
        <v>3881258813.8530293</v>
      </c>
      <c r="D10" s="18">
        <f>D6*Assumptions!B9</f>
        <v>4018460687.593151</v>
      </c>
      <c r="E10" s="18">
        <f>E6*Assumptions!B9</f>
        <v>4160512625.4646864</v>
      </c>
      <c r="F10" s="18">
        <f>F6*Assumptions!B9</f>
        <v>4307586076.453261</v>
      </c>
    </row>
    <row r="11" spans="1:6" x14ac:dyDescent="0.25">
      <c r="A11" t="s">
        <v>47</v>
      </c>
      <c r="B11" s="18">
        <f>-B6*Assumptions!B10</f>
        <v>-3275657592.094034</v>
      </c>
      <c r="C11" s="18">
        <f>-C6*Assumptions!B10</f>
        <v>-3391451560.216505</v>
      </c>
      <c r="D11" s="18">
        <f>-D6*Assumptions!B10</f>
        <v>-3511338826.455943</v>
      </c>
      <c r="E11" s="18">
        <f>-E6*Assumptions!B10</f>
        <v>-3635464088.241291</v>
      </c>
      <c r="F11" s="18">
        <f>-F6*Assumptions!B10</f>
        <v>-3763977158.0322914</v>
      </c>
    </row>
    <row r="12" spans="1:6" x14ac:dyDescent="0.25">
      <c r="A12" t="s">
        <v>48</v>
      </c>
      <c r="B12" s="18">
        <f>-(B6-Assumptions!B29)*Assumptions!B11</f>
        <v>-174992631.48037148</v>
      </c>
      <c r="C12" s="18">
        <f>-(C6-B6)*Assumptions!B11</f>
        <v>-181178592.80923903</v>
      </c>
      <c r="D12" s="18">
        <f>-(D6-C6)*Assumptions!B11</f>
        <v>-187583226.87443015</v>
      </c>
      <c r="E12" s="18">
        <f>-(E6-D6)*Assumptions!B11</f>
        <v>-194214263.72194257</v>
      </c>
      <c r="F12" s="18">
        <f>-(F6-E6)*Assumptions!B11</f>
        <v>-201079706.6536535</v>
      </c>
    </row>
    <row r="13" spans="1:6" x14ac:dyDescent="0.25">
      <c r="A13" s="19" t="s">
        <v>49</v>
      </c>
      <c r="B13" s="20">
        <f>B9+B10+B11+B12</f>
        <v>6754640928.122681</v>
      </c>
      <c r="C13" s="20">
        <f>C9+C10+C11+C12</f>
        <v>6993416396.656854</v>
      </c>
      <c r="D13" s="20">
        <f>D9+D10+D11+D12</f>
        <v>7240632539.533366</v>
      </c>
      <c r="E13" s="20">
        <f>E9+E10+E11+E12</f>
        <v>7496587733.230297</v>
      </c>
      <c r="F13" s="20">
        <f>F9+F10+F11+F12</f>
        <v>7761590901.786159</v>
      </c>
    </row>
    <row r="14" spans="1:6" x14ac:dyDescent="0.25">
      <c r="A14" t="s">
        <v>50</v>
      </c>
      <c r="B14" s="21">
        <f>1/(1+Assumptions!$B$26)^(1-0.5*Assumptions!$B$32)</f>
        <v>0.9474157111174628</v>
      </c>
      <c r="C14" s="21">
        <f>1/(1+Assumptions!$B$26)^(2-0.5*Assumptions!$B$32)</f>
        <v>0.8503970544559619</v>
      </c>
      <c r="D14" s="21">
        <f>1/(1+Assumptions!$B$26)^(3-0.5*Assumptions!$B$32)</f>
        <v>0.763313444923139</v>
      </c>
      <c r="E14" s="21">
        <f>1/(1+Assumptions!$B$26)^(4-0.5*Assumptions!$B$32)</f>
        <v>0.6851474992151476</v>
      </c>
      <c r="F14" s="21">
        <f>1/(1+Assumptions!$B$26)^(5-0.5*Assumptions!$B$32)</f>
        <v>0.6149860176091084</v>
      </c>
    </row>
    <row r="15" spans="1:6" x14ac:dyDescent="0.25">
      <c r="A15" s="19" t="s">
        <v>51</v>
      </c>
      <c r="B15" s="20">
        <f>B13*B14</f>
        <v>6399452938.2604685</v>
      </c>
      <c r="C15" s="20">
        <f>C13*C14</f>
        <v>5947180704.301016</v>
      </c>
      <c r="D15" s="20">
        <f>D13*D14</f>
        <v>5526872167.17379</v>
      </c>
      <c r="E15" s="20">
        <f>E13*E14</f>
        <v>5136268338.06969</v>
      </c>
      <c r="F15" s="20">
        <f>F13*F14</f>
        <v>4773269879.000558</v>
      </c>
    </row>
    <row r="17" spans="1:2" x14ac:dyDescent="0.25">
      <c r="A17" s="22" t="s">
        <v>52</v>
      </c>
      <c r="B17" s="23">
        <f>SUM(B15:F15)</f>
        <v>27783044026.805523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7761590901.786159</v>
      </c>
    </row>
    <row r="5" spans="1:2" x14ac:dyDescent="0.25">
      <c r="A5" t="s">
        <v>56</v>
      </c>
      <c r="B5" s="18">
        <f>IF(Assumptions!$B$33=0,B4,B4-Forecast!F11-Forecast!F10-Forecast!F12)</f>
        <v>7419061690.018841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0.11318443895197713</v>
      </c>
    </row>
    <row r="7" spans="1:2" x14ac:dyDescent="0.25">
      <c r="A7" t="s">
        <v>58</v>
      </c>
      <c r="B7" s="18">
        <f>-MAX(Forecast!F9,0)*B6</f>
        <v>-839722334.9348898</v>
      </c>
    </row>
    <row r="8" spans="1:2" x14ac:dyDescent="0.25">
      <c r="A8" t="s">
        <v>59</v>
      </c>
      <c r="B8" s="18">
        <f>IF(OR(Assumptions!$B$33=0,Assumptions!B12&lt;=0),B5,MAX(B5+B7,0))</f>
        <v>6579339355.083951</v>
      </c>
    </row>
    <row r="9" spans="1:2" x14ac:dyDescent="0.25">
      <c r="A9" t="s">
        <v>60</v>
      </c>
      <c r="B9" s="18">
        <f>B8*(1+Assumptions!B12)/(Assumptions!B26-Assumptions!B12)</f>
        <v>75699883766.63167</v>
      </c>
    </row>
    <row r="10" spans="1:2" x14ac:dyDescent="0.25">
      <c r="A10" t="s">
        <v>61</v>
      </c>
      <c r="B10" s="18">
        <f>B9/(1+Assumptions!B26)^(5-0.5*Assumptions!B32)</f>
        <v>46554370051.113205</v>
      </c>
    </row>
    <row r="11" spans="1:2" x14ac:dyDescent="0.25">
      <c r="A11" t="s">
        <v>62</v>
      </c>
      <c r="B11" s="18">
        <f>Forecast!B17+B10</f>
        <v>74337414077.91873</v>
      </c>
    </row>
    <row r="12" spans="1:2" x14ac:dyDescent="0.25">
      <c r="A12" t="s">
        <v>63</v>
      </c>
      <c r="B12" s="18">
        <f>-Assumptions!B30</f>
        <v>-19975000000</v>
      </c>
    </row>
    <row r="13" spans="1:2" x14ac:dyDescent="0.25">
      <c r="A13" t="s">
        <v>64</v>
      </c>
      <c r="B13" s="18">
        <f>B11+B12</f>
        <v>54362414077.91873</v>
      </c>
    </row>
    <row r="14" spans="1:2" x14ac:dyDescent="0.25">
      <c r="A14" s="19" t="s">
        <v>65</v>
      </c>
      <c r="B14" s="24">
        <f>B13/Assumptions!B31</f>
        <v>79.47721356420867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13342286233.92109</v>
      </c>
    </row>
    <row r="18" spans="1:2" x14ac:dyDescent="0.25">
      <c r="A18" t="s">
        <v>60</v>
      </c>
      <c r="B18" s="18">
        <f>B17*Assumptions!B13</f>
        <v>266845724678.42178</v>
      </c>
    </row>
    <row r="19" spans="1:2" x14ac:dyDescent="0.25">
      <c r="A19" t="s">
        <v>61</v>
      </c>
      <c r="B19" s="18">
        <f>B18/(1+Assumptions!B26)^(5-0.5*Assumptions!B32)</f>
        <v>164106389535.9992</v>
      </c>
    </row>
    <row r="20" spans="1:2" x14ac:dyDescent="0.25">
      <c r="A20" t="s">
        <v>62</v>
      </c>
      <c r="B20" s="18">
        <f>Forecast!B17+B19</f>
        <v>191889433562.80472</v>
      </c>
    </row>
    <row r="21" spans="1:2" x14ac:dyDescent="0.25">
      <c r="A21" t="s">
        <v>63</v>
      </c>
      <c r="B21" s="18">
        <f>-Assumptions!B30</f>
        <v>-19975000000</v>
      </c>
    </row>
    <row r="22" spans="1:2" x14ac:dyDescent="0.25">
      <c r="A22" t="s">
        <v>64</v>
      </c>
      <c r="B22" s="18">
        <f>B20+B21</f>
        <v>171914433562.80472</v>
      </c>
    </row>
    <row r="23" spans="1:2" x14ac:dyDescent="0.25">
      <c r="A23" s="19" t="s">
        <v>65</v>
      </c>
      <c r="B23" s="25">
        <f>B22/Assumptions!B31</f>
        <v>251.3368911736911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568.06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79.47721356420867</v>
      </c>
    </row>
    <row r="29" spans="1:2" x14ac:dyDescent="0.25">
      <c r="A29" s="19" t="s">
        <v>73</v>
      </c>
      <c r="B29" s="12">
        <f>B28/B26-1</f>
        <v>-0.8600901074460292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0.094086</v>
      </c>
      <c r="B5" s="31">
        <v>99.77204092144983</v>
      </c>
      <c r="C5" s="31">
        <v>103.81457250122465</v>
      </c>
      <c r="D5" s="31">
        <v>108.41853583148517</v>
      </c>
      <c r="E5" s="31">
        <v>113.715339897927</v>
      </c>
      <c r="F5" s="31">
        <v>119.8808742690218</v>
      </c>
    </row>
    <row r="6" spans="1:6" x14ac:dyDescent="0.25">
      <c r="A6" s="30">
        <v>0.104086</v>
      </c>
      <c r="B6" s="31">
        <v>86.06229303048755</v>
      </c>
      <c r="C6" s="31">
        <v>88.92649956841453</v>
      </c>
      <c r="D6" s="31">
        <v>92.13298595466833</v>
      </c>
      <c r="E6" s="31">
        <v>95.75105270115277</v>
      </c>
      <c r="F6" s="31">
        <v>99.87006241973506</v>
      </c>
    </row>
    <row r="7" spans="1:6" x14ac:dyDescent="0.25">
      <c r="A7" s="30">
        <v>0.114086</v>
      </c>
      <c r="B7" s="31">
        <v>75.10510318692877</v>
      </c>
      <c r="C7" s="31">
        <v>77.18317141497218</v>
      </c>
      <c r="D7" s="32">
        <v>79.47755520049246</v>
      </c>
      <c r="E7" s="31">
        <v>82.02684281457107</v>
      </c>
      <c r="F7" s="31">
        <v>84.87938108759992</v>
      </c>
    </row>
    <row r="8" spans="1:6" x14ac:dyDescent="0.25">
      <c r="A8" s="30">
        <v>0.124086</v>
      </c>
      <c r="B8" s="31">
        <v>66.14421010260602</v>
      </c>
      <c r="C8" s="31">
        <v>67.67918261877665</v>
      </c>
      <c r="D8" s="31">
        <v>69.35442969845586</v>
      </c>
      <c r="E8" s="31">
        <v>71.1923151200233</v>
      </c>
      <c r="F8" s="31">
        <v>73.22022337855473</v>
      </c>
    </row>
    <row r="9" spans="1:6" x14ac:dyDescent="0.25">
      <c r="A9" s="30">
        <v>0.134086</v>
      </c>
      <c r="B9" s="31">
        <v>58.677330274017315</v>
      </c>
      <c r="C9" s="31">
        <v>59.826515636585256</v>
      </c>
      <c r="D9" s="31">
        <v>61.06827059201505</v>
      </c>
      <c r="E9" s="31">
        <v>62.41593549244751</v>
      </c>
      <c r="F9" s="31">
        <v>63.885543371560836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113538000000</v>
      </c>
      <c r="C5" s="18">
        <v>95567000000</v>
      </c>
      <c r="D5" s="18">
        <v>88425000000</v>
      </c>
      <c r="E5" s="18">
        <v>102301000000</v>
      </c>
      <c r="F5" s="8" t="s">
        <v>84</v>
      </c>
    </row>
    <row r="6" spans="1:6" x14ac:dyDescent="0.25">
      <c r="A6" t="s">
        <v>44</v>
      </c>
      <c r="B6" s="18">
        <v>8446000000</v>
      </c>
      <c r="C6" s="18">
        <v>6656000000</v>
      </c>
      <c r="D6" s="18">
        <v>5933000000</v>
      </c>
      <c r="E6" s="18">
        <v>5771000000</v>
      </c>
      <c r="F6" s="8" t="s">
        <v>85</v>
      </c>
    </row>
    <row r="7" spans="1:6" x14ac:dyDescent="0.25">
      <c r="A7" t="s">
        <v>86</v>
      </c>
      <c r="B7" s="18">
        <v>3029000000</v>
      </c>
      <c r="C7" s="18">
        <v>3123000000</v>
      </c>
      <c r="D7" s="18">
        <v>3303000000</v>
      </c>
      <c r="E7" s="18">
        <v>3156000000</v>
      </c>
      <c r="F7" s="8" t="s">
        <v>87</v>
      </c>
    </row>
    <row r="8" spans="1:6" x14ac:dyDescent="0.25">
      <c r="A8" t="s">
        <v>88</v>
      </c>
      <c r="B8" s="18">
        <v>2633000000</v>
      </c>
      <c r="C8" s="18">
        <v>2652000000</v>
      </c>
      <c r="D8" s="18">
        <v>2756000000</v>
      </c>
      <c r="E8" s="18">
        <v>3003000000</v>
      </c>
      <c r="F8" s="8" t="s">
        <v>89</v>
      </c>
    </row>
    <row r="9" spans="1:6" x14ac:dyDescent="0.25">
      <c r="A9" t="s">
        <v>90</v>
      </c>
      <c r="B9" s="18">
        <v>-843000000</v>
      </c>
      <c r="C9" s="18">
        <v>4208000000</v>
      </c>
      <c r="D9" s="18">
        <v>-605000000</v>
      </c>
      <c r="E9" s="18">
        <v>3188000000</v>
      </c>
      <c r="F9" s="8" t="s">
        <v>91</v>
      </c>
    </row>
    <row r="10" spans="1:6" x14ac:dyDescent="0.25">
      <c r="A10" t="s">
        <v>92</v>
      </c>
      <c r="B10" s="18">
        <v>31503000000</v>
      </c>
      <c r="C10" s="18">
        <v>24567000000</v>
      </c>
      <c r="D10" s="18">
        <v>25994000000</v>
      </c>
      <c r="E10" s="18">
        <v>29588000000</v>
      </c>
      <c r="F10" s="8" t="s">
        <v>93</v>
      </c>
    </row>
    <row r="11" spans="1:6" x14ac:dyDescent="0.25">
      <c r="A11" t="s">
        <v>94</v>
      </c>
      <c r="B11" s="18">
        <v>11528000000</v>
      </c>
      <c r="C11" s="18">
        <v>3633000000</v>
      </c>
      <c r="D11" s="18">
        <v>7366000000</v>
      </c>
      <c r="E11" s="18">
        <v>8607000000</v>
      </c>
      <c r="F11" s="8" t="s">
        <v>95</v>
      </c>
    </row>
    <row r="12" spans="1:6" x14ac:dyDescent="0.25">
      <c r="A12" t="s">
        <v>32</v>
      </c>
      <c r="B12" s="34">
        <v>684000000</v>
      </c>
      <c r="C12" s="34">
        <v>720000000</v>
      </c>
      <c r="D12" s="34">
        <v>706335200</v>
      </c>
      <c r="E12" s="34">
        <v>753000000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2026-09-19T01:05:21Z</dcterms:modified>
</cp:coreProperties>
</file>