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<sst xmlns="http://schemas.openxmlformats.org/spreadsheetml/2006/main" count="120" uniqueCount="107">
  <si>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Dollar General Corporation (DG)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</si>
  <si>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</si>
  <si>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</si>
  <si>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</si>
  <si>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</si>
  <si>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</si>
  <si>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</si>
  <si>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</si>
  <si>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</si>
  <si>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</si>
  <si>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</si>
  <si>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</si>
  <si>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</si>
  <si>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</si>
  <si>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</si>
  <si>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</si>
  <si>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</si>
  <si>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</si>
  <si>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</si>
  <si>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</si>
  <si>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</si>
  <si>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</si>
  <si>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</si>
  <si>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</si>
  <si>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9.6x interest cover. Book interest / average debt was lower, at 1.4%.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</si>
  <si>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</si>
  <si>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</si>
  <si>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</si>
  <si>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</si>
  <si>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</si>
  <si>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</si>
  <si>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</si>
  <si>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</si>
  <si>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</si>
  <si>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</si>
  <si>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</si>
  <si>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</si>
  <si>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</si>
  <si>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</si>
  <si>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</si>
  <si>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</si>
  <si>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</si>
  <si>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</si>
  <si>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</si>
  <si>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</si>
  <si>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</si>
  <si>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</si>
  <si>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</si>
  <si>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</si>
  <si>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</si>
  <si>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</si>
  <si>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</si>
  <si>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</si>
  <si>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</si>
  <si>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</si>
  <si>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</si>
  <si>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</si>
  <si>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</si>
  <si>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</si>
  <si>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</si>
  <si>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</si>
  <si>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</si>
  <si>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</si>
  <si>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</si>
  <si>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</si>
  <si>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</si>
  <si>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</si>
  <si>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</si>
  <si>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</si>
  <si>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</si>
  <si>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</si>
  <si>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</si>
  <si>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</si>
  <si>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</si>
  <si>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</si>
  <si>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</si>
  <si>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</si>
  <si>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</si>
  <si>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</si>
  <si>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</si>
  <si>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</si>
  <si>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</si>
  <si>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</si>
  <si>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</si>
  <si>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</si>
  <si>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</si>
  <si>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</si>
  <si>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</si>
  <si>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</si>
  <si>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</si>
  <si>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</si>
  <si>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</si>
  <si>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</si>
  <si>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</si>
  <si>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</si>
  <si>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</si>
  <si>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</si>
  <si>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</si>
  <si>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</si>
  <si>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</si>
  <si>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</si>
  <si>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</si>
  <si>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</si>
  <si>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</si>
  <si>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</si>
  <si>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3.7% of revenue against depreciation of 2.2%.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</si>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</sst>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0.04266278362121634</v>
      </c>
    </row>
    <row r="7" spans="1:2" x14ac:dyDescent="0.25">
      <c r="A7" t="s">
        <v>4</v>
      </c>
      <c r="B7" s="5">
        <v>0.061239006014377415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0.022376893891867596</v>
      </c>
    </row>
    <row r="10" spans="1:3" x14ac:dyDescent="0.25">
      <c r="A10" t="s">
        <v>7</v>
      </c>
      <c r="B10" s="5">
        <v>0.03662078240259683</v>
      </c>
      <c r="C10" s="6" t="s">
        <v>8</v>
      </c>
    </row>
    <row r="11" spans="1:2" x14ac:dyDescent="0.25">
      <c r="A11" t="s">
        <v>9</v>
      </c>
      <c r="B11" s="5">
        <v>-0.2991259952756783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13.467059668564726</v>
      </c>
    </row>
    <row r="14" spans="1:3" x14ac:dyDescent="0.25">
      <c r="A14" t="s">
        <v>12</v>
      </c>
      <c r="B14" s="5">
        <v>0.13676493132467024</v>
      </c>
      <c r="C14" s="6" t="s">
        <v>13</v>
      </c>
    </row>
    <row r="15" spans="1:3" x14ac:dyDescent="0.25">
      <c r="A15" t="s">
        <v>14</v>
      </c>
      <c r="B15" s="5">
        <v>0.022376893891867596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0.48141999999999996</v>
      </c>
      <c r="C19" s="6" t="s">
        <v>21</v>
      </c>
    </row>
    <row r="20" spans="1:2" x14ac:dyDescent="0.25">
      <c r="A20" t="s">
        <v>22</v>
      </c>
      <c r="B20" s="9">
        <f>B17+B19*B18</f>
        <v>0.069304066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29187600384</v>
      </c>
    </row>
    <row r="23" spans="1:2" x14ac:dyDescent="0.25">
      <c r="A23" t="s">
        <v>26</v>
      </c>
      <c r="B23" s="10">
        <v>15718656000</v>
      </c>
    </row>
    <row r="24" spans="1:2" x14ac:dyDescent="0.25">
      <c r="A24" t="s">
        <v>27</v>
      </c>
      <c r="B24" s="9">
        <f>B22/(B22+B23)</f>
        <v>0.6499673483002577</v>
      </c>
    </row>
    <row r="25" spans="1:2" x14ac:dyDescent="0.25">
      <c r="A25" t="s">
        <v>28</v>
      </c>
      <c r="B25" s="9">
        <f>1-B24</f>
        <v>0.3500326516997423</v>
      </c>
    </row>
    <row r="26" spans="1:2" x14ac:dyDescent="0.25">
      <c r="A26" t="s">
        <v>29</v>
      </c>
      <c r="B26" s="11">
        <f>B24*B20+B25*B21*(1-B8)</f>
        <v>0.05968465558342369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42724369000</v>
      </c>
      <c r="C29" s="6" t="s">
        <v>32</v>
      </c>
    </row>
    <row r="30" spans="1:2" x14ac:dyDescent="0.25">
      <c r="A30" t="s">
        <v>33</v>
      </c>
      <c r="B30" s="10">
        <v>14580155000</v>
      </c>
    </row>
    <row r="31" spans="1:2" x14ac:dyDescent="0.25">
      <c r="A31" t="s">
        <v>34</v>
      </c>
      <c r="B31" s="12">
        <v>220814000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0.04266278362121634</v>
      </c>
      <c r="C5" s="5">
        <v>0.04047533565775452</v>
      </c>
      <c r="D5" s="5">
        <v>0.03854091870053521</v>
      </c>
      <c r="E5" s="5">
        <v>0.03660650174331589</v>
      </c>
      <c r="F5" s="5">
        <v>0.034672084786096576</v>
      </c>
      <c r="G5" s="5">
        <v>0.03273766782887726</v>
      </c>
      <c r="H5" s="5">
        <v>0.030803250871657945</v>
      </c>
      <c r="I5" s="5">
        <v>0.028868833914438632</v>
      </c>
      <c r="J5" s="5">
        <v>0.026934416957219317</v>
      </c>
      <c r="K5" s="5">
        <v>0.025</v>
      </c>
    </row>
    <row r="6" spans="1:11" x14ac:dyDescent="0.25">
      <c r="A6" t="s">
        <v>50</v>
      </c>
      <c r="B6" s="18">
        <f>Assumptions!B29*(1+B5)</f>
        <v>44547109510</v>
      </c>
      <c r="C6" s="18">
        <f>B6*(1+C5)</f>
        <v>46350168720</v>
      </c>
      <c r="D6" s="18">
        <f>C6*(1+D5)</f>
        <v>48136546804.39361</v>
      </c>
      <c r="E6" s="18">
        <f>D6*(1+E5)</f>
        <v>49898657388.90585</v>
      </c>
      <c r="F6" s="18">
        <f>E6*(1+F5)</f>
        <v>51628747868.606384</v>
      </c>
      <c r="G6" s="18">
        <f>F6*(1+G5)</f>
        <v>53318952666.74968</v>
      </c>
      <c r="H6" s="18">
        <f>G6*(1+H5)</f>
        <v>54961349741.95763</v>
      </c>
      <c r="I6" s="18">
        <f>H6*(1+I5)</f>
        <v>56548019819.37158</v>
      </c>
      <c r="J6" s="18">
        <f>I6*(1+J5)</f>
        <v>58071107763.29163</v>
      </c>
      <c r="K6" s="18">
        <f>J6*(1+K5)</f>
        <v>59522885457.37392</v>
      </c>
    </row>
    <row r="7" spans="1:11" x14ac:dyDescent="0.25">
      <c r="A7" t="s">
        <v>4</v>
      </c>
      <c r="B7" s="9">
        <f>Assumptions!B7</f>
        <v>0.061239006014377415</v>
      </c>
      <c r="C7" s="9">
        <f>Assumptions!B7</f>
        <v>0.061239006014377415</v>
      </c>
      <c r="D7" s="9">
        <f>Assumptions!B7</f>
        <v>0.061239006014377415</v>
      </c>
      <c r="E7" s="9">
        <f>Assumptions!B7</f>
        <v>0.061239006014377415</v>
      </c>
      <c r="F7" s="9">
        <f>Assumptions!B7</f>
        <v>0.061239006014377415</v>
      </c>
      <c r="G7" s="9">
        <f>Assumptions!B7</f>
        <v>0.061239006014377415</v>
      </c>
      <c r="H7" s="9">
        <f>Assumptions!B7</f>
        <v>0.061239006014377415</v>
      </c>
      <c r="I7" s="9">
        <f>Assumptions!B7</f>
        <v>0.061239006014377415</v>
      </c>
      <c r="J7" s="9">
        <f>Assumptions!B7</f>
        <v>0.061239006014377415</v>
      </c>
      <c r="K7" s="9">
        <f>Assumptions!B7</f>
        <v>0.061239006014377415</v>
      </c>
    </row>
    <row r="8" spans="1:11" x14ac:dyDescent="0.25">
      <c r="A8" t="s">
        <v>51</v>
      </c>
      <c r="B8" s="18">
        <f>B6*B7</f>
        <v>2728020707.2060194</v>
      </c>
      <c r="C8" s="18">
        <f>C6*C7</f>
        <v>2838438261.011488</v>
      </c>
      <c r="D8" s="18">
        <f>D6*D7</f>
        <v>2947834279.26562</v>
      </c>
      <c r="E8" s="18">
        <f>E6*E7</f>
        <v>3055744179.9485636</v>
      </c>
      <c r="F8" s="18">
        <f>F6*F7</f>
        <v>3161693201.2403617</v>
      </c>
      <c r="G8" s="18">
        <f>G6*G7</f>
        <v>3265199663.039388</v>
      </c>
      <c r="H8" s="18">
        <f>H6*H7</f>
        <v>3365778427.4060435</v>
      </c>
      <c r="I8" s="18">
        <f>I6*I7</f>
        <v>3462944525.8196297</v>
      </c>
      <c r="J8" s="18">
        <f>J6*J7</f>
        <v>3556216917.5777755</v>
      </c>
      <c r="K8" s="18">
        <f>K6*K7</f>
        <v>3645122340.517219</v>
      </c>
    </row>
    <row r="9" spans="1:11" x14ac:dyDescent="0.25">
      <c r="A9" t="s">
        <v>52</v>
      </c>
      <c r="B9" s="18">
        <f>B8*(1-Assumptions!B8)</f>
        <v>2155136358.692755</v>
      </c>
      <c r="C9" s="18">
        <f>C8*(1-Assumptions!B8)</f>
        <v>2242366226.1990757</v>
      </c>
      <c r="D9" s="18">
        <f>D8*(1-Assumptions!B8)</f>
        <v>2328789080.61984</v>
      </c>
      <c r="E9" s="18">
        <f>E8*(1-Assumptions!B8)</f>
        <v>2414037902.159365</v>
      </c>
      <c r="F9" s="18">
        <f>F8*(1-Assumptions!B8)</f>
        <v>2497737628.979886</v>
      </c>
      <c r="G9" s="18">
        <f>G8*(1-Assumptions!B8)</f>
        <v>2579507733.801117</v>
      </c>
      <c r="H9" s="18">
        <f>H8*(1-Assumptions!B8)</f>
        <v>2658964957.6507745</v>
      </c>
      <c r="I9" s="18">
        <f>I8*(1-Assumptions!B8)</f>
        <v>2735726175.3975077</v>
      </c>
      <c r="J9" s="18">
        <f>J8*(1-Assumptions!B8)</f>
        <v>2809411364.8864427</v>
      </c>
      <c r="K9" s="18">
        <f>K8*(1-Assumptions!B8)</f>
        <v>2879646649.008603</v>
      </c>
    </row>
    <row r="10" spans="1:11" x14ac:dyDescent="0.25">
      <c r="A10" t="s">
        <v>53</v>
      </c>
      <c r="B10" s="18">
        <f>B6*Assumptions!B9</f>
        <v>996825942.6946759</v>
      </c>
      <c r="C10" s="18">
        <f>C6*Assumptions!B9</f>
        <v>1037172807.3176005</v>
      </c>
      <c r="D10" s="18">
        <f>D6*Assumptions!B9</f>
        <v>1077146400.162834</v>
      </c>
      <c r="E10" s="18">
        <f>E6*Assumptions!B9</f>
        <v>1116576961.7382011</v>
      </c>
      <c r="F10" s="18">
        <f>F6*Assumptions!B9</f>
        <v>1155291012.8257904</v>
      </c>
      <c r="G10" s="18">
        <f>G6*Assumptions!B9</f>
        <v>1193112546.2493684</v>
      </c>
      <c r="H10" s="18">
        <f>H6*Assumptions!B9</f>
        <v>1229864291.3296103</v>
      </c>
      <c r="I10" s="18">
        <f>I6*Assumptions!B9</f>
        <v>1265369039.2933037</v>
      </c>
      <c r="J10" s="18">
        <f>J6*Assumptions!B9</f>
        <v>1299451016.6023855</v>
      </c>
      <c r="K10" s="18">
        <f>K6*Assumptions!B9</f>
        <v>1331937292.0174448</v>
      </c>
    </row>
    <row r="11" spans="1:11" x14ac:dyDescent="0.25">
      <c r="A11" t="s">
        <v>54</v>
      </c>
      <c r="B11" s="18">
        <f>-B6*B19</f>
        <v>-1631350004.030362</v>
      </c>
      <c r="C11" s="18">
        <f>-C6*C19</f>
        <v>-1669566953.0403624</v>
      </c>
      <c r="D11" s="18">
        <f>-D6*D19</f>
        <v>-1705029188.349066</v>
      </c>
      <c r="E11" s="18">
        <f>-E6*E19</f>
        <v>-1737502576.24673</v>
      </c>
      <c r="F11" s="18">
        <f>-F6*F19</f>
        <v>-1766765503.3769677</v>
      </c>
      <c r="G11" s="18">
        <f>-G6*G19</f>
        <v>-1792611166.0617027</v>
      </c>
      <c r="H11" s="18">
        <f>-H6*H19</f>
        <v>-1814849775.139634</v>
      </c>
      <c r="I11" s="18">
        <f>-I6*I19</f>
        <v>-1833310645.6736062</v>
      </c>
      <c r="J11" s="18">
        <f>-J6*J19</f>
        <v>-1847844141.5504355</v>
      </c>
      <c r="K11" s="18">
        <f>-K6*K19</f>
        <v>-1858323446.1866972</v>
      </c>
    </row>
    <row r="12" spans="1:11" x14ac:dyDescent="0.25">
      <c r="A12" t="s">
        <v>55</v>
      </c>
      <c r="B12" s="18">
        <f>-(B6-Assumptions!B29)*Assumptions!B11</f>
        <v>545229069.1830474</v>
      </c>
      <c r="C12" s="18">
        <f>-(C6-B6)*Assumptions!B11</f>
        <v>539341880.7322283</v>
      </c>
      <c r="D12" s="18">
        <f>-(D6-C6)*Assumptions!B11</f>
        <v>534352122.4328976</v>
      </c>
      <c r="E12" s="18">
        <f>-(E6-D6)*Assumptions!B11</f>
        <v>527093082.37803257</v>
      </c>
      <c r="F12" s="18">
        <f>-(F6-E6)*Assumptions!B11</f>
        <v>517515036.65739703</v>
      </c>
      <c r="G12" s="18">
        <f>-(G6-F6)*Assumptions!B11</f>
        <v>505584192.46434015</v>
      </c>
      <c r="H12" s="18">
        <f>-(H6-G6)*Assumptions!B11</f>
        <v>491283659.7594401</v>
      </c>
      <c r="I12" s="18">
        <f>-(I6-H6)*Assumptions!B11</f>
        <v>474614266.080587</v>
      </c>
      <c r="J12" s="18">
        <f>-(J6-I6)*Assumptions!B11</f>
        <v>455595197.11747193</v>
      </c>
      <c r="K12" s="18">
        <f>-(K6-J6)*Assumptions!B11</f>
        <v>434264447.6613921</v>
      </c>
    </row>
    <row r="13" spans="1:11" x14ac:dyDescent="0.25">
      <c r="A13" s="19" t="s">
        <v>56</v>
      </c>
      <c r="B13" s="20">
        <f>B9+B10+B11+B12</f>
        <v>2065841366.5401168</v>
      </c>
      <c r="C13" s="20">
        <f>C9+C10+C11+C12</f>
        <v>2149313961.208542</v>
      </c>
      <c r="D13" s="20">
        <f>D9+D10+D11+D12</f>
        <v>2235258414.8665056</v>
      </c>
      <c r="E13" s="20">
        <f>E9+E10+E11+E12</f>
        <v>2320205370.0288687</v>
      </c>
      <c r="F13" s="20">
        <f>F9+F10+F11+F12</f>
        <v>2403778175.086106</v>
      </c>
      <c r="G13" s="20">
        <f>G9+G10+G11+G12</f>
        <v>2485593306.453123</v>
      </c>
      <c r="H13" s="20">
        <f>H9+H10+H11+H12</f>
        <v>2565263133.600191</v>
      </c>
      <c r="I13" s="20">
        <f>I9+I10+I11+I12</f>
        <v>2642398835.097792</v>
      </c>
      <c r="J13" s="20">
        <f>J9+J10+J11+J12</f>
        <v>2716613437.0558643</v>
      </c>
      <c r="K13" s="20">
        <f>K9+K10+K11+K12</f>
        <v>2787524942.500743</v>
      </c>
    </row>
    <row r="14" spans="1:11" x14ac:dyDescent="0.25">
      <c r="A14" t="s">
        <v>57</v>
      </c>
      <c r="B14" s="21">
        <f>1/(1+Assumptions!$B$26)^(1-0.5*Assumptions!$B$32)</f>
        <v>0.9714303708149018</v>
      </c>
      <c r="C14" s="21">
        <f>1/(1+Assumptions!$B$26)^(2-0.5*Assumptions!$B$32)</f>
        <v>0.91671646437125</v>
      </c>
      <c r="D14" s="21">
        <f>1/(1+Assumptions!$B$26)^(3-0.5*Assumptions!$B$32)</f>
        <v>0.8650842111765215</v>
      </c>
      <c r="E14" s="21">
        <f>1/(1+Assumptions!$B$26)^(4-0.5*Assumptions!$B$32)</f>
        <v>0.8163600431679722</v>
      </c>
      <c r="F14" s="21">
        <f>1/(1+Assumptions!$B$26)^(5-0.5*Assumptions!$B$32)</f>
        <v>0.7703801681628712</v>
      </c>
      <c r="G14" s="21">
        <f>1/(1+Assumptions!$B$26)^(6-0.5*Assumptions!$B$32)</f>
        <v>0.7269900192512726</v>
      </c>
      <c r="H14" s="21">
        <f>1/(1+Assumptions!$B$26)^(7-0.5*Assumptions!$B$32)</f>
        <v>0.686043735200656</v>
      </c>
      <c r="I14" s="21">
        <f>1/(1+Assumptions!$B$26)^(8-0.5*Assumptions!$B$32)</f>
        <v>0.6474036701257558</v>
      </c>
      <c r="J14" s="21">
        <f>1/(1+Assumptions!$B$26)^(9-0.5*Assumptions!$B$32)</f>
        <v>0.610939930775273</v>
      </c>
      <c r="K14" s="21">
        <f>1/(1+Assumptions!$B$26)^(10-0.5*Assumptions!$B$32)</f>
        <v>0.5765299398800031</v>
      </c>
    </row>
    <row r="15" spans="1:11" x14ac:dyDescent="0.25">
      <c r="A15" s="19" t="s">
        <v>58</v>
      </c>
      <c r="B15" s="20">
        <f>B13*B14</f>
        <v>2006821044.742829</v>
      </c>
      <c r="C15" s="20">
        <f>C13*C14</f>
        <v>1970311495.3428605</v>
      </c>
      <c r="D15" s="20">
        <f>D13*D14</f>
        <v>1933686762.6004727</v>
      </c>
      <c r="E15" s="20">
        <f>E13*E14</f>
        <v>1894122956.0353281</v>
      </c>
      <c r="F15" s="20">
        <f>F13*F14</f>
        <v>1851823034.749074</v>
      </c>
      <c r="G15" s="20">
        <f>G13*G14</f>
        <v>1807001525.7091904</v>
      </c>
      <c r="H15" s="20">
        <f>H13*H14</f>
        <v>1759882701.9476144</v>
      </c>
      <c r="I15" s="20">
        <f>I13*I14</f>
        <v>1710698703.7783325</v>
      </c>
      <c r="J15" s="20">
        <f>J13*J14</f>
        <v>1659687625.178086</v>
      </c>
      <c r="K15" s="20">
        <f>K13*K14</f>
        <v>1607091587.5139625</v>
      </c>
    </row>
    <row r="17" spans="1:2" x14ac:dyDescent="0.25">
      <c r="A17" s="22" t="s">
        <v>59</v>
      </c>
      <c r="B17" s="23">
        <f>SUM(B15:K15)</f>
        <v>18201127437.597748</v>
      </c>
    </row>
    <row r="19" spans="1:11" x14ac:dyDescent="0.25">
      <c r="A19" t="s">
        <v>7</v>
      </c>
      <c r="B19" s="9">
        <f>Assumptions!$B$10+($B$20-Assumptions!$B$10)*0/9</f>
        <v>0.03662078240259683</v>
      </c>
      <c r="C19" s="9">
        <f>Assumptions!$B$10+($B$20-Assumptions!$B$10)*1/9</f>
        <v>0.036020730865645105</v>
      </c>
      <c r="D19" s="9">
        <f>Assumptions!$B$10+($B$20-Assumptions!$B$10)*2/9</f>
        <v>0.03542067932869338</v>
      </c>
      <c r="E19" s="9">
        <f>Assumptions!$B$10+($B$20-Assumptions!$B$10)*3/9</f>
        <v>0.03482062779174165</v>
      </c>
      <c r="F19" s="9">
        <f>Assumptions!$B$10+($B$20-Assumptions!$B$10)*4/9</f>
        <v>0.03422057625478993</v>
      </c>
      <c r="G19" s="9">
        <f>Assumptions!$B$10+($B$20-Assumptions!$B$10)*5/9</f>
        <v>0.033620524717838204</v>
      </c>
      <c r="H19" s="9">
        <f>Assumptions!$B$10+($B$20-Assumptions!$B$10)*6/9</f>
        <v>0.03302047318088648</v>
      </c>
      <c r="I19" s="9">
        <f>Assumptions!$B$10+($B$20-Assumptions!$B$10)*7/9</f>
        <v>0.03242042164393476</v>
      </c>
      <c r="J19" s="9">
        <f>Assumptions!$B$10+($B$20-Assumptions!$B$10)*8/9</f>
        <v>0.031820370106983034</v>
      </c>
      <c r="K19" s="9">
        <f>Assumptions!$B$10+($B$20-Assumptions!$B$10)*9/9</f>
        <v>0.031220318570031307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0.031220318570031307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2787524942.500743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2879646649.008603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0.18279539760563163</v>
      </c>
    </row>
    <row r="7" spans="1:2" x14ac:dyDescent="0.25">
      <c r="A7" t="s">
        <v>66</v>
      </c>
      <c r="B7" s="18">
        <f>-MAX(B5,0)*B6</f>
        <v>-526386154.16925234</v>
      </c>
    </row>
    <row r="8" spans="1:2" x14ac:dyDescent="0.25">
      <c r="A8" t="s">
        <v>67</v>
      </c>
      <c r="B8" s="18">
        <f>IF(OR(Assumptions!$B$33=0,Assumptions!B12&lt;=0),B5,MAX(B5+B7,0))</f>
        <v>2353260494.8393507</v>
      </c>
    </row>
    <row r="9" spans="1:2" x14ac:dyDescent="0.25">
      <c r="A9" t="s">
        <v>68</v>
      </c>
      <c r="B9" s="18">
        <f>B8*(1+Assumptions!B12)/(Assumptions!B26-Assumptions!B12)</f>
        <v>69543490244.80754</v>
      </c>
    </row>
    <row r="10" spans="1:2" x14ac:dyDescent="0.25">
      <c r="A10" t="s">
        <v>69</v>
      </c>
      <c r="B10" s="18">
        <f>B9/(1+Assumptions!B26)^(10-0.5*Assumptions!B32)</f>
        <v>40093904249.884476</v>
      </c>
    </row>
    <row r="11" spans="1:2" x14ac:dyDescent="0.25">
      <c r="A11" t="s">
        <v>70</v>
      </c>
      <c r="B11" s="18">
        <f>Forecast!B17+B10</f>
        <v>58295031687.48222</v>
      </c>
    </row>
    <row r="12" spans="1:2" x14ac:dyDescent="0.25">
      <c r="A12" t="s">
        <v>71</v>
      </c>
      <c r="B12" s="18">
        <f>-Assumptions!B30</f>
        <v>-14580155000</v>
      </c>
    </row>
    <row r="13" spans="1:2" x14ac:dyDescent="0.25">
      <c r="A13" t="s">
        <v>72</v>
      </c>
      <c r="B13" s="18">
        <f>B11+B12</f>
        <v>43714876687.48222</v>
      </c>
    </row>
    <row r="14" spans="1:2" x14ac:dyDescent="0.25">
      <c r="A14" s="19" t="s">
        <v>73</v>
      </c>
      <c r="B14" s="24">
        <f>B13/Assumptions!B31</f>
        <v>197.9714904285155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4977059632.534664</v>
      </c>
    </row>
    <row r="18" spans="1:2" x14ac:dyDescent="0.25">
      <c r="A18" t="s">
        <v>68</v>
      </c>
      <c r="B18" s="18">
        <f>B17*Assumptions!B13</f>
        <v>67026359045.34915</v>
      </c>
    </row>
    <row r="19" spans="1:2" x14ac:dyDescent="0.25">
      <c r="A19" t="s">
        <v>69</v>
      </c>
      <c r="B19" s="18">
        <f>B18/(1+Assumptions!B26)^(10-0.5*Assumptions!B32)</f>
        <v>38642702750.79065</v>
      </c>
    </row>
    <row r="20" spans="1:2" x14ac:dyDescent="0.25">
      <c r="A20" t="s">
        <v>70</v>
      </c>
      <c r="B20" s="18">
        <f>Forecast!B17+B19</f>
        <v>56843830188.3884</v>
      </c>
    </row>
    <row r="21" spans="1:2" x14ac:dyDescent="0.25">
      <c r="A21" t="s">
        <v>71</v>
      </c>
      <c r="B21" s="18">
        <f>-Assumptions!B30</f>
        <v>-14580155000</v>
      </c>
    </row>
    <row r="22" spans="1:2" x14ac:dyDescent="0.25">
      <c r="A22" t="s">
        <v>72</v>
      </c>
      <c r="B22" s="18">
        <f>B20+B21</f>
        <v>42263675188.3884</v>
      </c>
    </row>
    <row r="23" spans="1:2" x14ac:dyDescent="0.25">
      <c r="A23" s="19" t="s">
        <v>73</v>
      </c>
      <c r="B23" s="25">
        <f>B22/Assumptions!B31</f>
        <v>191.39943657733838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132.3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197.9714904285155</v>
      </c>
    </row>
    <row r="29" spans="1:2" x14ac:dyDescent="0.25">
      <c r="A29" s="19" t="s">
        <v>81</v>
      </c>
      <c r="B29" s="11">
        <f>B28/B26-1</f>
        <v>0.49638314760782665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0.039685</v>
      </c>
      <c r="B5" s="31">
        <v>357.67370587411153</v>
      </c>
      <c r="C5" s="31">
        <v>424.7302164925973</v>
      </c>
      <c r="D5" s="31">
        <v>538.3806945306758</v>
      </c>
      <c r="E5" s="31">
        <v>770.7892609273132</v>
      </c>
      <c r="F5" s="31">
        <v>1502.1845870546313</v>
      </c>
    </row>
    <row r="6" spans="1:6" x14ac:dyDescent="0.25">
      <c r="A6" s="30">
        <v>0.049685</v>
      </c>
      <c r="B6" s="31">
        <v>237.79655465802168</v>
      </c>
      <c r="C6" s="31">
        <v>263.209679024234</v>
      </c>
      <c r="D6" s="31">
        <v>299.43994753966183</v>
      </c>
      <c r="E6" s="31">
        <v>354.730040531368</v>
      </c>
      <c r="F6" s="31">
        <v>448.5486244715471</v>
      </c>
    </row>
    <row r="7" spans="1:6" x14ac:dyDescent="0.25">
      <c r="A7" s="30">
        <v>0.059685</v>
      </c>
      <c r="B7" s="31">
        <v>171.43094625012003</v>
      </c>
      <c r="C7" s="31">
        <v>182.8748723672952</v>
      </c>
      <c r="D7" s="32">
        <v>197.96899824953613</v>
      </c>
      <c r="E7" s="31">
        <v>218.5577906806054</v>
      </c>
      <c r="F7" s="31">
        <v>247.98011934786035</v>
      </c>
    </row>
    <row r="8" spans="1:6" x14ac:dyDescent="0.25">
      <c r="A8" s="30">
        <v>0.069685</v>
      </c>
      <c r="B8" s="31">
        <v>129.23500295454727</v>
      </c>
      <c r="C8" s="31">
        <v>134.72478692590937</v>
      </c>
      <c r="D8" s="31">
        <v>141.700403846898</v>
      </c>
      <c r="E8" s="31">
        <v>150.72346375264974</v>
      </c>
      <c r="F8" s="31">
        <v>162.679411209157</v>
      </c>
    </row>
    <row r="9" spans="1:6" x14ac:dyDescent="0.25">
      <c r="A9" s="30">
        <v>0.079685</v>
      </c>
      <c r="B9" s="31">
        <v>100.009825054023</v>
      </c>
      <c r="C9" s="31">
        <v>102.59628465131424</v>
      </c>
      <c r="D9" s="31">
        <v>105.85452756891772</v>
      </c>
      <c r="E9" s="31">
        <v>109.98736652303919</v>
      </c>
      <c r="F9" s="31">
        <v>115.28838863570546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42724369000</v>
      </c>
      <c r="C5" s="18">
        <v>40612308000</v>
      </c>
      <c r="D5" s="18">
        <v>38691609000</v>
      </c>
      <c r="E5" s="18">
        <v>37844863000</v>
      </c>
      <c r="F5" s="6" t="s">
        <v>91</v>
      </c>
    </row>
    <row r="6" spans="1:6" x14ac:dyDescent="0.25">
      <c r="A6" t="s">
        <v>51</v>
      </c>
      <c r="B6" s="18">
        <v>2203668000</v>
      </c>
      <c r="C6" s="18">
        <v>1714074000</v>
      </c>
      <c r="D6" s="18">
        <v>2446300000</v>
      </c>
      <c r="E6" s="18">
        <v>3328302000</v>
      </c>
      <c r="F6" s="6" t="s">
        <v>92</v>
      </c>
    </row>
    <row r="7" spans="1:6" x14ac:dyDescent="0.25">
      <c r="A7" t="s">
        <v>93</v>
      </c>
      <c r="B7" s="18">
        <v>1046318000</v>
      </c>
      <c r="C7" s="18">
        <v>971703000</v>
      </c>
      <c r="D7" s="18">
        <v>848793000</v>
      </c>
      <c r="E7" s="18">
        <v>724877000</v>
      </c>
      <c r="F7" s="6" t="s">
        <v>94</v>
      </c>
    </row>
    <row r="8" spans="1:6" x14ac:dyDescent="0.25">
      <c r="A8" t="s">
        <v>95</v>
      </c>
      <c r="B8" s="18">
        <v>1241162000</v>
      </c>
      <c r="C8" s="18">
        <v>1309888000</v>
      </c>
      <c r="D8" s="18">
        <v>1700222000</v>
      </c>
      <c r="E8" s="18">
        <v>1560582000</v>
      </c>
      <c r="F8" s="6" t="s">
        <v>96</v>
      </c>
    </row>
    <row r="9" spans="1:6" x14ac:dyDescent="0.25">
      <c r="A9" t="s">
        <v>97</v>
      </c>
      <c r="B9" s="18">
        <v>-784362000</v>
      </c>
      <c r="C9" s="18">
        <v>-574531000</v>
      </c>
      <c r="D9" s="18">
        <v>331989000</v>
      </c>
      <c r="E9" s="18">
        <v>1994852000</v>
      </c>
      <c r="F9" s="6" t="s">
        <v>98</v>
      </c>
    </row>
    <row r="10" spans="1:6" x14ac:dyDescent="0.25">
      <c r="A10" t="s">
        <v>99</v>
      </c>
      <c r="B10" s="18">
        <v>15718656000</v>
      </c>
      <c r="C10" s="18">
        <v>17463385000</v>
      </c>
      <c r="D10" s="18">
        <v>18090766000</v>
      </c>
      <c r="E10" s="18">
        <v>17661099000</v>
      </c>
      <c r="F10" s="6" t="s">
        <v>100</v>
      </c>
    </row>
    <row r="11" spans="1:6" x14ac:dyDescent="0.25">
      <c r="A11" t="s">
        <v>101</v>
      </c>
      <c r="B11" s="18">
        <v>1138501000</v>
      </c>
      <c r="C11" s="18">
        <v>932576000</v>
      </c>
      <c r="D11" s="18">
        <v>537283000</v>
      </c>
      <c r="E11" s="18">
        <v>381576000</v>
      </c>
      <c r="F11" s="6" t="s">
        <v>102</v>
      </c>
    </row>
    <row r="12" spans="1:6" x14ac:dyDescent="0.25">
      <c r="A12" t="s">
        <v>34</v>
      </c>
      <c r="B12" s="34">
        <v>220814000</v>
      </c>
      <c r="C12" s="34">
        <v>220027000</v>
      </c>
      <c r="D12" s="34">
        <v>219938000</v>
      </c>
      <c r="E12" s="34">
        <v>226297000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