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<sst xmlns="http://schemas.openxmlformats.org/spreadsheetml/2006/main" count="112" uniqueCount="100">
  <si>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Dollar General Corporation (DG)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</si>
  <si>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</si>
  <si>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</si>
  <si>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</si>
  <si>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</si>
  <si>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</si>
  <si>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</si>
  <si>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</si>
  <si>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</si>
  <si>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</si>
  <si>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</si>
  <si>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</si>
  <si>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</si>
  <si>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</si>
  <si>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</si>
  <si>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</si>
  <si>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</si>
  <si>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</si>
  <si>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</si>
  <si>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</si>
  <si>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</si>
  <si>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</si>
  <si>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</si>
  <si>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</si>
  <si>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</si>
  <si>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</si>
  <si>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</si>
  <si>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</si>
  <si>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</si>
  <si>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</si>
  <si>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</si>
  <si>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</si>
  <si>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</si>
  <si>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</si>
  <si>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</si>
  <si>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</si>
  <si>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</si>
  <si>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</si>
  <si>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</si>
  <si>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</si>
  <si>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</si>
  <si>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</si>
  <si>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</si>
  <si>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</si>
  <si>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</si>
  <si>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</si>
  <si>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</si>
  <si>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</si>
  <si>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</si>
  <si>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</si>
  <si>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</si>
  <si>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</si>
  <si>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</si>
  <si>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</si>
  <si>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</si>
  <si>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</si>
  <si>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</si>
  <si>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</si>
  <si>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</si>
  <si>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</si>
  <si>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</si>
  <si>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</si>
  <si>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</si>
  <si>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</si>
  <si>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</si>
  <si>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</si>
  <si>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</si>
  <si>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</si>
  <si>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</si>
  <si>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</si>
  <si>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</si>
  <si>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</si>
  <si>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</si>
  <si>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</si>
  <si>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</si>
  <si>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</si>
  <si>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</si>
  <si>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</si>
  <si>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</si>
  <si>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</si>
  <si>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</si>
  <si>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</si>
  <si>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</si>
  <si>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</si>
  <si>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</si>
  <si>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</si>
  <si>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</si>
  <si>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</si>
  <si>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</si>
  <si>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</si>
  <si>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</si>
  <si>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</si>
  <si>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</si>
  <si>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</si>
  <si>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</si>
  <si>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</si>
  <si>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</si>
  <si>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</si>
  <si>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3.7% of revenue against depreciation of 2.2%.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</si>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</sst>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0.04125293834210786</v>
      </c>
    </row>
    <row r="7" spans="1:2" x14ac:dyDescent="0.25">
      <c r="A7" t="s">
        <v>5</v>
      </c>
      <c r="B7" s="6">
        <v>0.061239006014377415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0.022376893891867596</v>
      </c>
    </row>
    <row r="10" spans="1:2" x14ac:dyDescent="0.25">
      <c r="A10" t="s">
        <v>8</v>
      </c>
      <c r="B10" s="6">
        <v>0.03662078240259683</v>
      </c>
    </row>
    <row r="11" spans="1:2" x14ac:dyDescent="0.25">
      <c r="A11" t="s">
        <v>9</v>
      </c>
      <c r="B11" s="6">
        <v>-0.2991259952756783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12.795703471953418</v>
      </c>
    </row>
    <row r="14" spans="1:3" x14ac:dyDescent="0.25">
      <c r="A14" t="s">
        <v>12</v>
      </c>
      <c r="B14" s="6">
        <v>0.13676493132467024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0.48744999999999994</v>
      </c>
      <c r="C19" s="8" t="s">
        <v>19</v>
      </c>
    </row>
    <row r="20" spans="1:2" x14ac:dyDescent="0.25">
      <c r="A20" t="s">
        <v>20</v>
      </c>
      <c r="B20" s="10">
        <f>B17+B19*B18</f>
        <v>0.07678975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27005702144</v>
      </c>
    </row>
    <row r="23" spans="1:2" x14ac:dyDescent="0.25">
      <c r="A23" t="s">
        <v>24</v>
      </c>
      <c r="B23" s="11">
        <v>15718656000</v>
      </c>
    </row>
    <row r="24" spans="1:2" x14ac:dyDescent="0.25">
      <c r="A24" t="s">
        <v>25</v>
      </c>
      <c r="B24" s="10">
        <f>B22/(B22+B23)</f>
        <v>0.6320914653177194</v>
      </c>
    </row>
    <row r="25" spans="1:2" x14ac:dyDescent="0.25">
      <c r="A25" t="s">
        <v>26</v>
      </c>
      <c r="B25" s="10">
        <f>1-B24</f>
        <v>0.3679085346822806</v>
      </c>
    </row>
    <row r="26" spans="1:2" x14ac:dyDescent="0.25">
      <c r="A26" t="s">
        <v>27</v>
      </c>
      <c r="B26" s="12">
        <f>B24*B20+B25*B21*(1-B8)</f>
        <v>0.06306471976398345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42724369000</v>
      </c>
      <c r="C29" s="8" t="s">
        <v>30</v>
      </c>
    </row>
    <row r="30" spans="1:2" x14ac:dyDescent="0.25">
      <c r="A30" t="s">
        <v>31</v>
      </c>
      <c r="B30" s="11">
        <v>14580155000</v>
      </c>
    </row>
    <row r="31" spans="1:2" x14ac:dyDescent="0.25">
      <c r="A31" t="s">
        <v>32</v>
      </c>
      <c r="B31" s="13">
        <v>220814000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0.04125293834210786</v>
      </c>
      <c r="C5" s="10">
        <f>Assumptions!B6</f>
        <v>0.04125293834210786</v>
      </c>
      <c r="D5" s="10">
        <f>Assumptions!B6</f>
        <v>0.04125293834210786</v>
      </c>
      <c r="E5" s="10">
        <f>Assumptions!B6</f>
        <v>0.04125293834210786</v>
      </c>
      <c r="F5" s="10">
        <f>Assumptions!B6</f>
        <v>0.04125293834210786</v>
      </c>
    </row>
    <row r="6" spans="1:6" x14ac:dyDescent="0.25">
      <c r="A6" t="s">
        <v>43</v>
      </c>
      <c r="B6" s="18">
        <f>Assumptions!B29*(1+B5)</f>
        <v>44486874760.06246</v>
      </c>
      <c r="C6" s="18">
        <f>B6*(1+C5)</f>
        <v>46322089061.572395</v>
      </c>
      <c r="D6" s="18">
        <f>C6*(1+D5)</f>
        <v>48233011345.50707</v>
      </c>
      <c r="E6" s="18">
        <f>D6*(1+E5)</f>
        <v>50222764788.597466</v>
      </c>
      <c r="F6" s="18">
        <f>E6*(1+F5)</f>
        <v>52294601407.791664</v>
      </c>
    </row>
    <row r="7" spans="1:6" x14ac:dyDescent="0.25">
      <c r="A7" t="s">
        <v>5</v>
      </c>
      <c r="B7" s="10">
        <f>Assumptions!B7</f>
        <v>0.061239006014377415</v>
      </c>
      <c r="C7" s="10">
        <f>Assumptions!B7</f>
        <v>0.061239006014377415</v>
      </c>
      <c r="D7" s="10">
        <f>Assumptions!B7</f>
        <v>0.061239006014377415</v>
      </c>
      <c r="E7" s="10">
        <f>Assumptions!B7</f>
        <v>0.061239006014377415</v>
      </c>
      <c r="F7" s="10">
        <f>Assumptions!B7</f>
        <v>0.061239006014377415</v>
      </c>
    </row>
    <row r="8" spans="1:6" x14ac:dyDescent="0.25">
      <c r="A8" t="s">
        <v>44</v>
      </c>
      <c r="B8" s="18">
        <f>B6*B7</f>
        <v>2724331990.99232</v>
      </c>
      <c r="C8" s="18">
        <f>C6*C7</f>
        <v>2836718690.640158</v>
      </c>
      <c r="D8" s="18">
        <f>D6*D7</f>
        <v>2953741671.8790417</v>
      </c>
      <c r="E8" s="18">
        <f>E6*E7</f>
        <v>3075592194.9475822</v>
      </c>
      <c r="F8" s="18">
        <f>F6*F7</f>
        <v>3202469410.131223</v>
      </c>
    </row>
    <row r="9" spans="1:6" x14ac:dyDescent="0.25">
      <c r="A9" t="s">
        <v>45</v>
      </c>
      <c r="B9" s="18">
        <f>B8*(1-Assumptions!B8)</f>
        <v>2152222272.883933</v>
      </c>
      <c r="C9" s="18">
        <f>C8*(1-Assumptions!B8)</f>
        <v>2241007765.6057253</v>
      </c>
      <c r="D9" s="18">
        <f>D8*(1-Assumptions!B8)</f>
        <v>2333455920.784443</v>
      </c>
      <c r="E9" s="18">
        <f>E8*(1-Assumptions!B8)</f>
        <v>2429717834.00859</v>
      </c>
      <c r="F9" s="18">
        <f>F8*(1-Assumptions!B8)</f>
        <v>2529950834.0036664</v>
      </c>
    </row>
    <row r="10" spans="1:6" x14ac:dyDescent="0.25">
      <c r="A10" t="s">
        <v>46</v>
      </c>
      <c r="B10" s="18">
        <f>B6*Assumptions!B9</f>
        <v>995478076.0867205</v>
      </c>
      <c r="C10" s="18">
        <f>C6*Assumptions!B9</f>
        <v>1036544471.780446</v>
      </c>
      <c r="D10" s="18">
        <f>D6*Assumptions!B9</f>
        <v>1079304976.9636576</v>
      </c>
      <c r="E10" s="18">
        <f>E6*Assumptions!B9</f>
        <v>1123829478.6306696</v>
      </c>
      <c r="F10" s="18">
        <f>F6*Assumptions!B9</f>
        <v>1170190746.8196638</v>
      </c>
    </row>
    <row r="11" spans="1:6" x14ac:dyDescent="0.25">
      <c r="A11" t="s">
        <v>47</v>
      </c>
      <c r="B11" s="18">
        <f>-B6*Assumptions!B10</f>
        <v>-1629144160.3598244</v>
      </c>
      <c r="C11" s="18">
        <f>-C6*Assumptions!B10</f>
        <v>-1696351143.9575534</v>
      </c>
      <c r="D11" s="18">
        <f>-D6*Assumptions!B10</f>
        <v>-1766330613.1057985</v>
      </c>
      <c r="E11" s="18">
        <f>-E6*Assumptions!B10</f>
        <v>-1839196940.9800296</v>
      </c>
      <c r="F11" s="18">
        <f>-F6*Assumptions!B10</f>
        <v>-1915069218.9852724</v>
      </c>
    </row>
    <row r="12" spans="1:6" x14ac:dyDescent="0.25">
      <c r="A12" t="s">
        <v>48</v>
      </c>
      <c r="B12" s="18">
        <f>-(B6-Assumptions!B29)*Assumptions!B11</f>
        <v>527211289.6577997</v>
      </c>
      <c r="C12" s="18">
        <f>-(C6-B6)*Assumptions!B11</f>
        <v>548960304.4833176</v>
      </c>
      <c r="D12" s="18">
        <f>-(D6-C6)*Assumptions!B11</f>
        <v>571606530.0764326</v>
      </c>
      <c r="E12" s="18">
        <f>-(E6-D6)*Assumptions!B11</f>
        <v>595186979.0176215</v>
      </c>
      <c r="F12" s="18">
        <f>-(F6-E6)*Assumptions!B11</f>
        <v>619740190.7650611</v>
      </c>
    </row>
    <row r="13" spans="1:6" x14ac:dyDescent="0.25">
      <c r="A13" s="19" t="s">
        <v>49</v>
      </c>
      <c r="B13" s="20">
        <f>B9+B10+B11+B12</f>
        <v>2045767478.2686288</v>
      </c>
      <c r="C13" s="20">
        <f>C9+C10+C11+C12</f>
        <v>2130161397.9119356</v>
      </c>
      <c r="D13" s="20">
        <f>D9+D10+D11+D12</f>
        <v>2218036814.7187343</v>
      </c>
      <c r="E13" s="20">
        <f>E9+E10+E11+E12</f>
        <v>2309537350.6768517</v>
      </c>
      <c r="F13" s="20">
        <f>F9+F10+F11+F12</f>
        <v>2404812552.603119</v>
      </c>
    </row>
    <row r="14" spans="1:6" x14ac:dyDescent="0.25">
      <c r="A14" t="s">
        <v>50</v>
      </c>
      <c r="B14" s="21">
        <f>1/(1+Assumptions!$B$26)^(1-0.5*Assumptions!$B$32)</f>
        <v>0.969884787039519</v>
      </c>
      <c r="C14" s="21">
        <f>1/(1+Assumptions!$B$26)^(2-0.5*Assumptions!$B$32)</f>
        <v>0.9123478270023373</v>
      </c>
      <c r="D14" s="21">
        <f>1/(1+Assumptions!$B$26)^(3-0.5*Assumptions!$B$32)</f>
        <v>0.8582241608064015</v>
      </c>
      <c r="E14" s="21">
        <f>1/(1+Assumptions!$B$26)^(4-0.5*Assumptions!$B$32)</f>
        <v>0.8073112999149669</v>
      </c>
      <c r="F14" s="21">
        <f>1/(1+Assumptions!$B$26)^(5-0.5*Assumptions!$B$32)</f>
        <v>0.7594187681199713</v>
      </c>
    </row>
    <row r="15" spans="1:6" x14ac:dyDescent="0.25">
      <c r="A15" s="19" t="s">
        <v>51</v>
      </c>
      <c r="B15" s="20">
        <f>B13*B14</f>
        <v>1984158754.9929428</v>
      </c>
      <c r="C15" s="20">
        <f>C13*C14</f>
        <v>1943448122.5492156</v>
      </c>
      <c r="D15" s="20">
        <f>D13*D14</f>
        <v>1903572783.9496896</v>
      </c>
      <c r="E15" s="20">
        <f>E13*E14</f>
        <v>1864515600.777098</v>
      </c>
      <c r="F15" s="20">
        <f>F13*F14</f>
        <v>1826259786.2573044</v>
      </c>
    </row>
    <row r="17" spans="1:2" x14ac:dyDescent="0.25">
      <c r="A17" s="22" t="s">
        <v>52</v>
      </c>
      <c r="B17" s="23">
        <f>SUM(B15:F15)</f>
        <v>9521955048.52625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2404812552.603119</v>
      </c>
    </row>
    <row r="5" spans="1:2" x14ac:dyDescent="0.25">
      <c r="A5" t="s">
        <v>56</v>
      </c>
      <c r="B5" s="18">
        <f>IF(Assumptions!$B$33=0,B4,B4-Forecast!F11-Forecast!F10-Forecast!F12)</f>
        <v>2529950834.0036664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0.18279539760563163</v>
      </c>
    </row>
    <row r="7" spans="1:2" x14ac:dyDescent="0.25">
      <c r="A7" t="s">
        <v>58</v>
      </c>
      <c r="B7" s="18">
        <f>-MAX(Forecast!F9,0)*B6</f>
        <v>-462463368.62439954</v>
      </c>
    </row>
    <row r="8" spans="1:2" x14ac:dyDescent="0.25">
      <c r="A8" t="s">
        <v>59</v>
      </c>
      <c r="B8" s="18">
        <f>IF(OR(Assumptions!$B$33=0,Assumptions!B12&lt;=0),B5,MAX(B5+B7,0))</f>
        <v>2067487465.3792667</v>
      </c>
    </row>
    <row r="9" spans="1:2" x14ac:dyDescent="0.25">
      <c r="A9" t="s">
        <v>60</v>
      </c>
      <c r="B9" s="18">
        <f>B8*(1+Assumptions!B12)/(Assumptions!B26-Assumptions!B12)</f>
        <v>55672934548.145424</v>
      </c>
    </row>
    <row r="10" spans="1:2" x14ac:dyDescent="0.25">
      <c r="A10" t="s">
        <v>61</v>
      </c>
      <c r="B10" s="18">
        <f>B9/(1+Assumptions!B26)^(5-0.5*Assumptions!B32)</f>
        <v>42279071372.17639</v>
      </c>
    </row>
    <row r="11" spans="1:2" x14ac:dyDescent="0.25">
      <c r="A11" t="s">
        <v>62</v>
      </c>
      <c r="B11" s="18">
        <f>Forecast!B17+B10</f>
        <v>51801026420.702644</v>
      </c>
    </row>
    <row r="12" spans="1:2" x14ac:dyDescent="0.25">
      <c r="A12" t="s">
        <v>63</v>
      </c>
      <c r="B12" s="18">
        <f>-Assumptions!B30</f>
        <v>-14580155000</v>
      </c>
    </row>
    <row r="13" spans="1:2" x14ac:dyDescent="0.25">
      <c r="A13" t="s">
        <v>64</v>
      </c>
      <c r="B13" s="18">
        <f>B11+B12</f>
        <v>37220871420.702644</v>
      </c>
    </row>
    <row r="14" spans="1:2" x14ac:dyDescent="0.25">
      <c r="A14" s="19" t="s">
        <v>65</v>
      </c>
      <c r="B14" s="24">
        <f>B13/Assumptions!B31</f>
        <v>168.5620994171685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4372660156.950887</v>
      </c>
    </row>
    <row r="18" spans="1:2" x14ac:dyDescent="0.25">
      <c r="A18" t="s">
        <v>60</v>
      </c>
      <c r="B18" s="18">
        <f>B17*Assumptions!B13</f>
        <v>55951262751.96884</v>
      </c>
    </row>
    <row r="19" spans="1:2" x14ac:dyDescent="0.25">
      <c r="A19" t="s">
        <v>61</v>
      </c>
      <c r="B19" s="18">
        <f>B18/(1+Assumptions!B26)^(5-0.5*Assumptions!B32)</f>
        <v>42490439033.85702</v>
      </c>
    </row>
    <row r="20" spans="1:2" x14ac:dyDescent="0.25">
      <c r="A20" t="s">
        <v>62</v>
      </c>
      <c r="B20" s="18">
        <f>Forecast!B17+B19</f>
        <v>52012394082.38327</v>
      </c>
    </row>
    <row r="21" spans="1:2" x14ac:dyDescent="0.25">
      <c r="A21" t="s">
        <v>63</v>
      </c>
      <c r="B21" s="18">
        <f>-Assumptions!B30</f>
        <v>-14580155000</v>
      </c>
    </row>
    <row r="22" spans="1:2" x14ac:dyDescent="0.25">
      <c r="A22" t="s">
        <v>64</v>
      </c>
      <c r="B22" s="18">
        <f>B20+B21</f>
        <v>37432239082.38327</v>
      </c>
    </row>
    <row r="23" spans="1:2" x14ac:dyDescent="0.25">
      <c r="A23" s="19" t="s">
        <v>65</v>
      </c>
      <c r="B23" s="25">
        <f>B22/Assumptions!B31</f>
        <v>169.5193198002992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122.41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168.5620994171685</v>
      </c>
    </row>
    <row r="29" spans="1:2" x14ac:dyDescent="0.25">
      <c r="A29" s="19" t="s">
        <v>73</v>
      </c>
      <c r="B29" s="12">
        <f>B28/B26-1</f>
        <v>0.37702883275196886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0.043065</v>
      </c>
      <c r="B5" s="31">
        <v>284.3341502678956</v>
      </c>
      <c r="C5" s="31">
        <v>336.99388005975084</v>
      </c>
      <c r="D5" s="31">
        <v>418.61195399263585</v>
      </c>
      <c r="E5" s="31">
        <v>562.4356098863326</v>
      </c>
      <c r="F5" s="31">
        <v>884.1602884615077</v>
      </c>
    </row>
    <row r="6" spans="1:6" x14ac:dyDescent="0.25">
      <c r="A6" s="30">
        <v>0.053065</v>
      </c>
      <c r="B6" s="31">
        <v>193.64908503354275</v>
      </c>
      <c r="C6" s="31">
        <v>217.22540447540692</v>
      </c>
      <c r="D6" s="31">
        <v>249.08406854712678</v>
      </c>
      <c r="E6" s="31">
        <v>294.6113841833584</v>
      </c>
      <c r="F6" s="31">
        <v>365.15690983788943</v>
      </c>
    </row>
    <row r="7" spans="1:6" x14ac:dyDescent="0.25">
      <c r="A7" s="30">
        <v>0.063065</v>
      </c>
      <c r="B7" s="31">
        <v>140.68069039419424</v>
      </c>
      <c r="C7" s="31">
        <v>153.0390260825093</v>
      </c>
      <c r="D7" s="32">
        <v>168.5604347375708</v>
      </c>
      <c r="E7" s="31">
        <v>188.679850413551</v>
      </c>
      <c r="F7" s="31">
        <v>215.854786216232</v>
      </c>
    </row>
    <row r="8" spans="1:6" x14ac:dyDescent="0.25">
      <c r="A8" s="30">
        <v>0.073065</v>
      </c>
      <c r="B8" s="31">
        <v>105.94303964773178</v>
      </c>
      <c r="C8" s="31">
        <v>113.01360909054117</v>
      </c>
      <c r="D8" s="31">
        <v>121.49177135468676</v>
      </c>
      <c r="E8" s="31">
        <v>131.8678060714248</v>
      </c>
      <c r="F8" s="31">
        <v>144.88959414943477</v>
      </c>
    </row>
    <row r="9" spans="1:6" x14ac:dyDescent="0.25">
      <c r="A9" s="30">
        <v>0.083065</v>
      </c>
      <c r="B9" s="31">
        <v>81.40151659431721</v>
      </c>
      <c r="C9" s="31">
        <v>85.65727224041242</v>
      </c>
      <c r="D9" s="31">
        <v>90.59558178986629</v>
      </c>
      <c r="E9" s="31">
        <v>96.40938425239113</v>
      </c>
      <c r="F9" s="31">
        <v>103.37190117580894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42724369000</v>
      </c>
      <c r="C5" s="18">
        <v>40612308000</v>
      </c>
      <c r="D5" s="18">
        <v>38691609000</v>
      </c>
      <c r="E5" s="18">
        <v>37844863000</v>
      </c>
      <c r="F5" s="8" t="s">
        <v>84</v>
      </c>
    </row>
    <row r="6" spans="1:6" x14ac:dyDescent="0.25">
      <c r="A6" t="s">
        <v>44</v>
      </c>
      <c r="B6" s="18">
        <v>2203668000</v>
      </c>
      <c r="C6" s="18">
        <v>1714074000</v>
      </c>
      <c r="D6" s="18">
        <v>2446300000</v>
      </c>
      <c r="E6" s="18">
        <v>3328302000</v>
      </c>
      <c r="F6" s="8" t="s">
        <v>85</v>
      </c>
    </row>
    <row r="7" spans="1:6" x14ac:dyDescent="0.25">
      <c r="A7" t="s">
        <v>86</v>
      </c>
      <c r="B7" s="18">
        <v>1046318000</v>
      </c>
      <c r="C7" s="18">
        <v>971703000</v>
      </c>
      <c r="D7" s="18">
        <v>848793000</v>
      </c>
      <c r="E7" s="18">
        <v>724877000</v>
      </c>
      <c r="F7" s="8" t="s">
        <v>87</v>
      </c>
    </row>
    <row r="8" spans="1:6" x14ac:dyDescent="0.25">
      <c r="A8" t="s">
        <v>88</v>
      </c>
      <c r="B8" s="18">
        <v>1241162000</v>
      </c>
      <c r="C8" s="18">
        <v>1309888000</v>
      </c>
      <c r="D8" s="18">
        <v>1700222000</v>
      </c>
      <c r="E8" s="18">
        <v>1560582000</v>
      </c>
      <c r="F8" s="8" t="s">
        <v>89</v>
      </c>
    </row>
    <row r="9" spans="1:6" x14ac:dyDescent="0.25">
      <c r="A9" t="s">
        <v>90</v>
      </c>
      <c r="B9" s="18">
        <v>-784362000</v>
      </c>
      <c r="C9" s="18">
        <v>-574531000</v>
      </c>
      <c r="D9" s="18">
        <v>331989000</v>
      </c>
      <c r="E9" s="18">
        <v>1994852000</v>
      </c>
      <c r="F9" s="8" t="s">
        <v>91</v>
      </c>
    </row>
    <row r="10" spans="1:6" x14ac:dyDescent="0.25">
      <c r="A10" t="s">
        <v>92</v>
      </c>
      <c r="B10" s="18">
        <v>15718656000</v>
      </c>
      <c r="C10" s="18">
        <v>17463385000</v>
      </c>
      <c r="D10" s="18">
        <v>18090766000</v>
      </c>
      <c r="E10" s="18">
        <v>17661099000</v>
      </c>
      <c r="F10" s="8" t="s">
        <v>93</v>
      </c>
    </row>
    <row r="11" spans="1:6" x14ac:dyDescent="0.25">
      <c r="A11" t="s">
        <v>94</v>
      </c>
      <c r="B11" s="18">
        <v>1138501000</v>
      </c>
      <c r="C11" s="18">
        <v>932576000</v>
      </c>
      <c r="D11" s="18">
        <v>537283000</v>
      </c>
      <c r="E11" s="18">
        <v>381576000</v>
      </c>
      <c r="F11" s="8" t="s">
        <v>95</v>
      </c>
    </row>
    <row r="12" spans="1:6" x14ac:dyDescent="0.25">
      <c r="A12" t="s">
        <v>32</v>
      </c>
      <c r="B12" s="34">
        <v>220814000</v>
      </c>
      <c r="C12" s="34">
        <v>220027000</v>
      </c>
      <c r="D12" s="34">
        <v>219938000</v>
      </c>
      <c r="E12" s="34">
        <v>226297000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