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<sst xmlns="http://schemas.openxmlformats.org/spreadsheetml/2006/main" count="112" uniqueCount="100">
  <si>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Vinci SA (DG.PA)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</si>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</sst>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0.06588419295404835</v>
      </c>
    </row>
    <row r="7" spans="1:2" x14ac:dyDescent="0.25">
      <c r="A7" t="s">
        <v>5</v>
      </c>
      <c r="B7" s="6">
        <v>0.11356287608709104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0.05567524903679215</v>
      </c>
    </row>
    <row r="10" spans="1:2" x14ac:dyDescent="0.25">
      <c r="A10" t="s">
        <v>8</v>
      </c>
      <c r="B10" s="6">
        <v>0.0526316831944009</v>
      </c>
    </row>
    <row r="11" spans="1:2" x14ac:dyDescent="0.25">
      <c r="A11" t="s">
        <v>9</v>
      </c>
      <c r="B11" s="6">
        <v>-0.8015955601803677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6.081414380137764</v>
      </c>
    </row>
    <row r="14" spans="1:3" x14ac:dyDescent="0.25">
      <c r="A14" t="s">
        <v>12</v>
      </c>
      <c r="B14" s="6">
        <v>0.10094849669694664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0.81977</v>
      </c>
      <c r="C19" s="8" t="s">
        <v>19</v>
      </c>
    </row>
    <row r="20" spans="1:2" x14ac:dyDescent="0.25">
      <c r="A20" t="s">
        <v>20</v>
      </c>
      <c r="B20" s="10">
        <f>B17+B19*B18</f>
        <v>0.0811862</v>
      </c>
    </row>
    <row r="21" spans="1:3" x14ac:dyDescent="0.25">
      <c r="A21" t="s">
        <v>21</v>
      </c>
      <c r="B21" s="6">
        <v>0.0408367476640569</v>
      </c>
      <c r="C21" s="8" t="s">
        <v>22</v>
      </c>
    </row>
    <row r="22" spans="1:2" x14ac:dyDescent="0.25">
      <c r="A22" t="s">
        <v>23</v>
      </c>
      <c r="B22" s="11">
        <v>61262565376</v>
      </c>
    </row>
    <row r="23" spans="1:2" x14ac:dyDescent="0.25">
      <c r="A23" t="s">
        <v>24</v>
      </c>
      <c r="B23" s="11">
        <v>37692000000</v>
      </c>
    </row>
    <row r="24" spans="1:2" x14ac:dyDescent="0.25">
      <c r="A24" t="s">
        <v>25</v>
      </c>
      <c r="B24" s="10">
        <f>B22/(B22+B23)</f>
        <v>0.619097917748607</v>
      </c>
    </row>
    <row r="25" spans="1:2" x14ac:dyDescent="0.25">
      <c r="A25" t="s">
        <v>26</v>
      </c>
      <c r="B25" s="10">
        <f>1-B24</f>
        <v>0.380902082251393</v>
      </c>
    </row>
    <row r="26" spans="1:2" x14ac:dyDescent="0.25">
      <c r="A26" t="s">
        <v>27</v>
      </c>
      <c r="B26" s="12">
        <f>B24*B20+B25*B21*(1-B8)</f>
        <v>0.06180387061539153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75702000000</v>
      </c>
      <c r="C29" s="8" t="s">
        <v>30</v>
      </c>
    </row>
    <row r="30" spans="1:2" x14ac:dyDescent="0.25">
      <c r="A30" t="s">
        <v>31</v>
      </c>
      <c r="B30" s="11">
        <v>19079000000</v>
      </c>
    </row>
    <row r="31" spans="1:2" x14ac:dyDescent="0.25">
      <c r="A31" t="s">
        <v>32</v>
      </c>
      <c r="B31" s="13">
        <v>566820809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0.06588419295404835</v>
      </c>
      <c r="C5" s="10">
        <f>Assumptions!B6</f>
        <v>0.06588419295404835</v>
      </c>
      <c r="D5" s="10">
        <f>Assumptions!B6</f>
        <v>0.06588419295404835</v>
      </c>
      <c r="E5" s="10">
        <f>Assumptions!B6</f>
        <v>0.06588419295404835</v>
      </c>
      <c r="F5" s="10">
        <f>Assumptions!B6</f>
        <v>0.06588419295404835</v>
      </c>
    </row>
    <row r="6" spans="1:6" x14ac:dyDescent="0.25">
      <c r="A6" t="s">
        <v>43</v>
      </c>
      <c r="B6" s="18">
        <f>Assumptions!B29*(1+B5)</f>
        <v>80689565175.00737</v>
      </c>
      <c r="C6" s="18">
        <f>B6*(1+C5)</f>
        <v>86005732056.37581</v>
      </c>
      <c r="D6" s="18">
        <f>C6*(1+D5)</f>
        <v>91672150302.33226</v>
      </c>
      <c r="E6" s="18">
        <f>D6*(1+E5)</f>
        <v>97711895941.36365</v>
      </c>
      <c r="F6" s="18">
        <f>E6*(1+F5)</f>
        <v>104149565347.47034</v>
      </c>
    </row>
    <row r="7" spans="1:6" x14ac:dyDescent="0.25">
      <c r="A7" t="s">
        <v>5</v>
      </c>
      <c r="B7" s="10">
        <f>Assumptions!B7</f>
        <v>0.11356287608709104</v>
      </c>
      <c r="C7" s="10">
        <f>Assumptions!B7</f>
        <v>0.11356287608709104</v>
      </c>
      <c r="D7" s="10">
        <f>Assumptions!B7</f>
        <v>0.11356287608709104</v>
      </c>
      <c r="E7" s="10">
        <f>Assumptions!B7</f>
        <v>0.11356287608709104</v>
      </c>
      <c r="F7" s="10">
        <f>Assumptions!B7</f>
        <v>0.11356287608709104</v>
      </c>
    </row>
    <row r="8" spans="1:6" x14ac:dyDescent="0.25">
      <c r="A8" t="s">
        <v>44</v>
      </c>
      <c r="B8" s="18">
        <f>B6*B7</f>
        <v>9163339091.490618</v>
      </c>
      <c r="C8" s="18">
        <f>C6*C7</f>
        <v>9767058292.29776</v>
      </c>
      <c r="D8" s="18">
        <f>D6*D7</f>
        <v>10410553045.420944</v>
      </c>
      <c r="E8" s="18">
        <f>E6*E7</f>
        <v>11096443931.023813</v>
      </c>
      <c r="F8" s="18">
        <f>F6*F7</f>
        <v>11827524184.079165</v>
      </c>
    </row>
    <row r="9" spans="1:6" x14ac:dyDescent="0.25">
      <c r="A9" t="s">
        <v>45</v>
      </c>
      <c r="B9" s="18">
        <f>B8*(1-Assumptions!B8)</f>
        <v>6799197605.886039</v>
      </c>
      <c r="C9" s="18">
        <f>C8*(1-Assumptions!B8)</f>
        <v>7247157252.884938</v>
      </c>
      <c r="D9" s="18">
        <f>D8*(1-Assumptions!B8)</f>
        <v>7724630359.70234</v>
      </c>
      <c r="E9" s="18">
        <f>E8*(1-Assumptions!B8)</f>
        <v>8233561396.81967</v>
      </c>
      <c r="F9" s="18">
        <f>F8*(1-Assumptions!B8)</f>
        <v>8776022944.58674</v>
      </c>
    </row>
    <row r="10" spans="1:6" x14ac:dyDescent="0.25">
      <c r="A10" t="s">
        <v>46</v>
      </c>
      <c r="B10" s="18">
        <f>B6*Assumptions!B9</f>
        <v>4492411635.789006</v>
      </c>
      <c r="C10" s="18">
        <f>C6*Assumptions!B9</f>
        <v>4788390550.830341</v>
      </c>
      <c r="D10" s="18">
        <f>D6*Assumptions!B9</f>
        <v>5103869797.820589</v>
      </c>
      <c r="E10" s="18">
        <f>E6*Assumptions!B9</f>
        <v>5440134140.392541</v>
      </c>
      <c r="F10" s="18">
        <f>F6*Assumptions!B9</f>
        <v>5798552987.794069</v>
      </c>
    </row>
    <row r="11" spans="1:6" x14ac:dyDescent="0.25">
      <c r="A11" t="s">
        <v>47</v>
      </c>
      <c r="B11" s="18">
        <f>-B6*Assumptions!B10</f>
        <v>-4246827631.384951</v>
      </c>
      <c r="C11" s="18">
        <f>-C6*Assumptions!B10</f>
        <v>-4526626442.493701</v>
      </c>
      <c r="D11" s="18">
        <f>-D6*Assumptions!B10</f>
        <v>-4824859572.461854</v>
      </c>
      <c r="E11" s="18">
        <f>-E6*Assumptions!B10</f>
        <v>-5142741551.5101185</v>
      </c>
      <c r="F11" s="18">
        <f>-F6*Assumptions!B10</f>
        <v>-5481566928.202613</v>
      </c>
    </row>
    <row r="12" spans="1:6" x14ac:dyDescent="0.25">
      <c r="A12" t="s">
        <v>48</v>
      </c>
      <c r="B12" s="18">
        <f>-(B6-Assumptions!B29)*Assumptions!B11</f>
        <v>3998010100.3961263</v>
      </c>
      <c r="C12" s="18">
        <f>-(C6-B6)*Assumptions!B11</f>
        <v>4261415769.282852</v>
      </c>
      <c r="D12" s="18">
        <f>-(D6-C6)*Assumptions!B11</f>
        <v>4542175708.083718</v>
      </c>
      <c r="E12" s="18">
        <f>-(E6-D6)*Assumptions!B11</f>
        <v>4841433288.866298</v>
      </c>
      <c r="F12" s="18">
        <f>-(F6-E6)*Assumptions!B11</f>
        <v>5160407213.844107</v>
      </c>
    </row>
    <row r="13" spans="1:6" x14ac:dyDescent="0.25">
      <c r="A13" s="19" t="s">
        <v>49</v>
      </c>
      <c r="B13" s="20">
        <f>B9+B10+B11+B12</f>
        <v>11042791710.68622</v>
      </c>
      <c r="C13" s="20">
        <f>C9+C10+C11+C12</f>
        <v>11770337130.504429</v>
      </c>
      <c r="D13" s="20">
        <f>D9+D10+D11+D12</f>
        <v>12545816293.144794</v>
      </c>
      <c r="E13" s="20">
        <f>E9+E10+E11+E12</f>
        <v>13372387274.56839</v>
      </c>
      <c r="F13" s="20">
        <f>F9+F10+F11+F12</f>
        <v>14253416218.022303</v>
      </c>
    </row>
    <row r="14" spans="1:6" x14ac:dyDescent="0.25">
      <c r="A14" t="s">
        <v>50</v>
      </c>
      <c r="B14" s="21">
        <f>1/(1+Assumptions!$B$26)^(1-0.5*Assumptions!$B$32)</f>
        <v>0.9704604656688418</v>
      </c>
      <c r="C14" s="21">
        <f>1/(1+Assumptions!$B$26)^(2-0.5*Assumptions!$B$32)</f>
        <v>0.9139733735443911</v>
      </c>
      <c r="D14" s="21">
        <f>1/(1+Assumptions!$B$26)^(3-0.5*Assumptions!$B$32)</f>
        <v>0.8607741964763022</v>
      </c>
      <c r="E14" s="21">
        <f>1/(1+Assumptions!$B$26)^(4-0.5*Assumptions!$B$32)</f>
        <v>0.8106715564875666</v>
      </c>
      <c r="F14" s="21">
        <f>1/(1+Assumptions!$B$26)^(5-0.5*Assumptions!$B$32)</f>
        <v>0.7634852150404425</v>
      </c>
    </row>
    <row r="15" spans="1:6" x14ac:dyDescent="0.25">
      <c r="A15" s="19" t="s">
        <v>51</v>
      </c>
      <c r="B15" s="20">
        <f>B13*B14</f>
        <v>10716592785.836575</v>
      </c>
      <c r="C15" s="20">
        <f>C13*C14</f>
        <v>10757774734.921942</v>
      </c>
      <c r="D15" s="20">
        <f>D13*D14</f>
        <v>10799114938.87101</v>
      </c>
      <c r="E15" s="20">
        <f>E13*E14</f>
        <v>10840614005.828886</v>
      </c>
      <c r="F15" s="20">
        <f>F13*F14</f>
        <v>10882272546.277689</v>
      </c>
    </row>
    <row r="17" spans="1:2" x14ac:dyDescent="0.25">
      <c r="A17" s="22" t="s">
        <v>52</v>
      </c>
      <c r="B17" s="23">
        <f>SUM(B15:F15)</f>
        <v>53996369011.7361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14253416218.022303</v>
      </c>
    </row>
    <row r="5" spans="1:2" x14ac:dyDescent="0.25">
      <c r="A5" t="s">
        <v>56</v>
      </c>
      <c r="B5" s="18">
        <f>IF(Assumptions!$B$33=0,B4,B4-Forecast!F11-Forecast!F10-Forecast!F12)</f>
        <v>10758246816.132889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0.2476510380838209</v>
      </c>
    </row>
    <row r="7" spans="1:2" x14ac:dyDescent="0.25">
      <c r="A7" t="s">
        <v>58</v>
      </c>
      <c r="B7" s="18">
        <f>-MAX(Forecast!F9,0)*B6</f>
        <v>-2664290991.977271</v>
      </c>
    </row>
    <row r="8" spans="1:2" x14ac:dyDescent="0.25">
      <c r="A8" t="s">
        <v>59</v>
      </c>
      <c r="B8" s="18">
        <f>IF(OR(Assumptions!$B$33=0,Assumptions!B12&lt;=0),B5,MAX(B5+B7,0))</f>
        <v>8093955824.155618</v>
      </c>
    </row>
    <row r="9" spans="1:2" x14ac:dyDescent="0.25">
      <c r="A9" t="s">
        <v>60</v>
      </c>
      <c r="B9" s="18">
        <f>B8*(1+Assumptions!B12)/(Assumptions!B26-Assumptions!B12)</f>
        <v>225419353482.0753</v>
      </c>
    </row>
    <row r="10" spans="1:2" x14ac:dyDescent="0.25">
      <c r="A10" t="s">
        <v>61</v>
      </c>
      <c r="B10" s="18">
        <f>B9/(1+Assumptions!B26)^(5-0.5*Assumptions!B32)</f>
        <v>172104343567.53976</v>
      </c>
    </row>
    <row r="11" spans="1:2" x14ac:dyDescent="0.25">
      <c r="A11" t="s">
        <v>62</v>
      </c>
      <c r="B11" s="18">
        <f>Forecast!B17+B10</f>
        <v>226100712579.27588</v>
      </c>
    </row>
    <row r="12" spans="1:2" x14ac:dyDescent="0.25">
      <c r="A12" t="s">
        <v>63</v>
      </c>
      <c r="B12" s="18">
        <f>-Assumptions!B30</f>
        <v>-19079000000</v>
      </c>
    </row>
    <row r="13" spans="1:2" x14ac:dyDescent="0.25">
      <c r="A13" t="s">
        <v>64</v>
      </c>
      <c r="B13" s="18">
        <f>B11+B12</f>
        <v>207021712579.27588</v>
      </c>
    </row>
    <row r="14" spans="1:2" x14ac:dyDescent="0.25">
      <c r="A14" s="19" t="s">
        <v>65</v>
      </c>
      <c r="B14" s="24">
        <f>B13/Assumptions!B31</f>
        <v>365.23308476361154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17626077171.873234</v>
      </c>
    </row>
    <row r="18" spans="1:2" x14ac:dyDescent="0.25">
      <c r="A18" t="s">
        <v>60</v>
      </c>
      <c r="B18" s="18">
        <f>B17*Assumptions!B13</f>
        <v>107191479178.44785</v>
      </c>
    </row>
    <row r="19" spans="1:2" x14ac:dyDescent="0.25">
      <c r="A19" t="s">
        <v>61</v>
      </c>
      <c r="B19" s="18">
        <f>B18/(1+Assumptions!B26)^(5-0.5*Assumptions!B32)</f>
        <v>81839109531.06038</v>
      </c>
    </row>
    <row r="20" spans="1:2" x14ac:dyDescent="0.25">
      <c r="A20" t="s">
        <v>62</v>
      </c>
      <c r="B20" s="18">
        <f>Forecast!B17+B19</f>
        <v>135835478542.79648</v>
      </c>
    </row>
    <row r="21" spans="1:2" x14ac:dyDescent="0.25">
      <c r="A21" t="s">
        <v>63</v>
      </c>
      <c r="B21" s="18">
        <f>-Assumptions!B30</f>
        <v>-19079000000</v>
      </c>
    </row>
    <row r="22" spans="1:2" x14ac:dyDescent="0.25">
      <c r="A22" t="s">
        <v>64</v>
      </c>
      <c r="B22" s="18">
        <f>B20+B21</f>
        <v>116756478542.79648</v>
      </c>
    </row>
    <row r="23" spans="1:2" x14ac:dyDescent="0.25">
      <c r="A23" s="19" t="s">
        <v>65</v>
      </c>
      <c r="B23" s="25">
        <f>B22/Assumptions!B31</f>
        <v>205.98481334653414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110.8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365.23308476361154</v>
      </c>
    </row>
    <row r="29" spans="1:2" x14ac:dyDescent="0.25">
      <c r="A29" s="19" t="s">
        <v>73</v>
      </c>
      <c r="B29" s="12">
        <f>B28/B26-1</f>
        <v>2.296327479815989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0.041804</v>
      </c>
      <c r="B5" s="31">
        <v>575.2271713255573</v>
      </c>
      <c r="C5" s="31">
        <v>658.4405593146399</v>
      </c>
      <c r="D5" s="31">
        <v>790.7086535566273</v>
      </c>
      <c r="E5" s="31">
        <v>1034.3680004589712</v>
      </c>
      <c r="F5" s="31">
        <v>1634.990144687362</v>
      </c>
    </row>
    <row r="6" spans="1:6" x14ac:dyDescent="0.25">
      <c r="A6" s="30">
        <v>0.051804</v>
      </c>
      <c r="B6" s="31">
        <v>418.955665816705</v>
      </c>
      <c r="C6" s="31">
        <v>452.7790384822517</v>
      </c>
      <c r="D6" s="31">
        <v>498.9417678473975</v>
      </c>
      <c r="E6" s="31">
        <v>565.9326793796713</v>
      </c>
      <c r="F6" s="31">
        <v>672.3439375938854</v>
      </c>
    </row>
    <row r="7" spans="1:6" x14ac:dyDescent="0.25">
      <c r="A7" s="30">
        <v>0.061804</v>
      </c>
      <c r="B7" s="31">
        <v>329.15989789832355</v>
      </c>
      <c r="C7" s="31">
        <v>345.12450021595544</v>
      </c>
      <c r="D7" s="32">
        <v>365.23182174606546</v>
      </c>
      <c r="E7" s="31">
        <v>391.435729555286</v>
      </c>
      <c r="F7" s="31">
        <v>427.14798286562325</v>
      </c>
    </row>
    <row r="8" spans="1:6" x14ac:dyDescent="0.25">
      <c r="A8" s="30">
        <v>0.071804</v>
      </c>
      <c r="B8" s="31">
        <v>270.7470356065984</v>
      </c>
      <c r="C8" s="31">
        <v>278.73939094391847</v>
      </c>
      <c r="D8" s="31">
        <v>288.29235286544815</v>
      </c>
      <c r="E8" s="31">
        <v>299.9658940714829</v>
      </c>
      <c r="F8" s="31">
        <v>314.6242871755313</v>
      </c>
    </row>
    <row r="9" spans="1:6" x14ac:dyDescent="0.25">
      <c r="A9" s="30">
        <v>0.081804</v>
      </c>
      <c r="B9" s="31">
        <v>229.6357644564831</v>
      </c>
      <c r="C9" s="31">
        <v>233.60601922236359</v>
      </c>
      <c r="D9" s="31">
        <v>238.15903677264276</v>
      </c>
      <c r="E9" s="31">
        <v>243.46355777919902</v>
      </c>
      <c r="F9" s="31">
        <v>249.76042814930838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75702000000</v>
      </c>
      <c r="C5" s="18">
        <v>72768000000</v>
      </c>
      <c r="D5" s="18">
        <v>69885000000</v>
      </c>
      <c r="E5" s="18">
        <v>62514000000</v>
      </c>
      <c r="F5" s="8" t="s">
        <v>84</v>
      </c>
    </row>
    <row r="6" spans="1:6" x14ac:dyDescent="0.25">
      <c r="A6" t="s">
        <v>44</v>
      </c>
      <c r="B6" s="18">
        <v>9004000000</v>
      </c>
      <c r="C6" s="18">
        <v>8578000000</v>
      </c>
      <c r="D6" s="18">
        <v>8036000000</v>
      </c>
      <c r="E6" s="18">
        <v>6404000000</v>
      </c>
      <c r="F6" s="8" t="s">
        <v>85</v>
      </c>
    </row>
    <row r="7" spans="1:6" x14ac:dyDescent="0.25">
      <c r="A7" t="s">
        <v>86</v>
      </c>
      <c r="B7" s="18">
        <v>4207000000</v>
      </c>
      <c r="C7" s="18">
        <v>3998000000</v>
      </c>
      <c r="D7" s="18">
        <v>3800000000</v>
      </c>
      <c r="E7" s="18">
        <v>3614000000</v>
      </c>
      <c r="F7" s="8" t="s">
        <v>87</v>
      </c>
    </row>
    <row r="8" spans="1:6" x14ac:dyDescent="0.25">
      <c r="A8" t="s">
        <v>88</v>
      </c>
      <c r="B8" s="18">
        <v>3873000000</v>
      </c>
      <c r="C8" s="18">
        <v>4052000000</v>
      </c>
      <c r="D8" s="18">
        <v>3332000000</v>
      </c>
      <c r="E8" s="18">
        <v>3501000000</v>
      </c>
      <c r="F8" s="8" t="s">
        <v>89</v>
      </c>
    </row>
    <row r="9" spans="1:6" x14ac:dyDescent="0.25">
      <c r="A9" t="s">
        <v>90</v>
      </c>
      <c r="B9" s="18">
        <v>-2496000000</v>
      </c>
      <c r="C9" s="18">
        <v>-2311000000</v>
      </c>
      <c r="D9" s="18">
        <v>-1463000000</v>
      </c>
      <c r="E9" s="18">
        <v>-392000000</v>
      </c>
      <c r="F9" s="8" t="s">
        <v>91</v>
      </c>
    </row>
    <row r="10" spans="1:6" x14ac:dyDescent="0.25">
      <c r="A10" t="s">
        <v>92</v>
      </c>
      <c r="B10" s="18">
        <v>37692000000</v>
      </c>
      <c r="C10" s="18">
        <v>36261000000</v>
      </c>
      <c r="D10" s="18">
        <v>31423000000</v>
      </c>
      <c r="E10" s="18">
        <v>31023000000</v>
      </c>
      <c r="F10" s="8" t="s">
        <v>93</v>
      </c>
    </row>
    <row r="11" spans="1:6" x14ac:dyDescent="0.25">
      <c r="A11" t="s">
        <v>94</v>
      </c>
      <c r="B11" s="18">
        <v>18613000000</v>
      </c>
      <c r="C11" s="18">
        <v>16169000000</v>
      </c>
      <c r="D11" s="18">
        <v>16251000000</v>
      </c>
      <c r="E11" s="18">
        <v>13417000000</v>
      </c>
      <c r="F11" s="8" t="s">
        <v>95</v>
      </c>
    </row>
    <row r="12" spans="1:6" x14ac:dyDescent="0.25">
      <c r="A12" t="s">
        <v>32</v>
      </c>
      <c r="B12" s="34">
        <v>566820809</v>
      </c>
      <c r="C12" s="34">
        <v>576868327</v>
      </c>
      <c r="D12" s="34">
        <v>575111896</v>
      </c>
      <c r="E12" s="34">
        <v>570510021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2026-09-19T00:07:48Z</dcterms:modified>
</cp:coreProperties>
</file>