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<sst xmlns="http://schemas.openxmlformats.org/spreadsheetml/2006/main" count="113" uniqueCount="101">
  <si>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Diageo plc (DGE.L)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</si>
  <si>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</si>
  <si>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</si>
  <si>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</si>
  <si>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</si>
  <si>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</si>
  <si>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</si>
  <si>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</si>
  <si>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</si>
  <si>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</si>
  <si>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</si>
  <si>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</si>
  <si>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</si>
  <si>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</si>
  <si>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</si>
  <si>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</si>
  <si>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</si>
  <si>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</si>
  <si>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</si>
  <si>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</si>
  <si>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</si>
  <si>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</si>
  <si>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</si>
  <si>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</si>
  <si>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</si>
  <si>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</si>
  <si>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</si>
  <si>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</si>
  <si>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</si>
  <si>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</si>
  <si>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</si>
  <si>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</si>
  <si>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</si>
  <si>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</si>
  <si>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</si>
  <si>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</si>
  <si>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</si>
  <si>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</si>
  <si>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</si>
  <si>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</si>
  <si>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</si>
  <si>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</si>
  <si>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</si>
  <si>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</si>
  <si>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</si>
  <si>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</si>
  <si>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</si>
  <si>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</si>
  <si>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</si>
  <si>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</si>
  <si>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</si>
  <si>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</si>
  <si>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</si>
  <si>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</si>
  <si>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</si>
  <si>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</si>
  <si>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</si>
  <si>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</si>
  <si>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</si>
  <si>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</si>
  <si>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</si>
  <si>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</si>
  <si>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</si>
  <si>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</si>
  <si>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</si>
  <si>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</si>
  <si>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</si>
  <si>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</si>
  <si>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</si>
  <si>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</si>
  <si>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USD to GBp</t>
  </si>
  <si>
    <t>USD/GBP at 0.7466, then x100, because GBp is a sub-unit of GBP</t>
  </si>
  <si>
    <t>Value per share (GBp)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</si>
  <si>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</si>
  <si>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</si>
  <si>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</si>
  <si>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</si>
  <si>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</si>
  <si>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</si>
  <si>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</si>
  <si>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</si>
  <si>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</si>
  <si>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</si>
  <si>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</si>
  <si>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</si>
  <si>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</si>
  <si>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</si>
  <si>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</si>
  <si>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</si>
  <si>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</si>
  <si>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</si>
  <si>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</si>
  <si>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</si>
  <si>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</si>
  <si>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</si>
  <si>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</si>
  <si>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</si>
  <si>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</si>
  <si>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GBp. Modelled in USD, converted at the end.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</si>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</sst>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-0.015013877293924671</v>
      </c>
    </row>
    <row r="7" spans="1:2" x14ac:dyDescent="0.25">
      <c r="A7" t="s">
        <v>5</v>
      </c>
      <c r="B7" s="6">
        <v>0.23518102546617137</v>
      </c>
    </row>
    <row r="8" spans="1:2" x14ac:dyDescent="0.25">
      <c r="A8" t="s">
        <v>6</v>
      </c>
      <c r="B8" s="6">
        <v>0.23667289548724807</v>
      </c>
    </row>
    <row r="9" spans="1:2" x14ac:dyDescent="0.25">
      <c r="A9" t="s">
        <v>7</v>
      </c>
      <c r="B9" s="6">
        <v>0.07463398671513018</v>
      </c>
    </row>
    <row r="10" spans="1:2" x14ac:dyDescent="0.25">
      <c r="A10" t="s">
        <v>8</v>
      </c>
      <c r="B10" s="6">
        <v>0.07099933436825023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9.95849292264017</v>
      </c>
    </row>
    <row r="14" spans="1:3" x14ac:dyDescent="0.25">
      <c r="A14" t="s">
        <v>12</v>
      </c>
      <c r="B14" s="6">
        <v>0.11657134569347696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0.54574</v>
      </c>
      <c r="C19" s="8" t="s">
        <v>19</v>
      </c>
    </row>
    <row r="20" spans="1:2" x14ac:dyDescent="0.25">
      <c r="A20" t="s">
        <v>20</v>
      </c>
      <c r="B20" s="10">
        <f>B17+B19*B18</f>
        <v>0.07501569999999999</v>
      </c>
    </row>
    <row r="21" spans="1:3" x14ac:dyDescent="0.25">
      <c r="A21" t="s">
        <v>21</v>
      </c>
      <c r="B21" s="6">
        <v>0.04609738824387836</v>
      </c>
      <c r="C21" s="8" t="s">
        <v>22</v>
      </c>
    </row>
    <row r="22" spans="1:2" x14ac:dyDescent="0.25">
      <c r="A22" t="s">
        <v>23</v>
      </c>
      <c r="B22" s="11">
        <v>35711066112</v>
      </c>
    </row>
    <row r="23" spans="1:2" x14ac:dyDescent="0.25">
      <c r="A23" t="s">
        <v>24</v>
      </c>
      <c r="B23" s="11">
        <v>22196000000</v>
      </c>
    </row>
    <row r="24" spans="1:2" x14ac:dyDescent="0.25">
      <c r="A24" t="s">
        <v>25</v>
      </c>
      <c r="B24" s="10">
        <f>B22/(B22+B23)</f>
        <v>0.6166961738819582</v>
      </c>
    </row>
    <row r="25" spans="1:2" x14ac:dyDescent="0.25">
      <c r="A25" t="s">
        <v>26</v>
      </c>
      <c r="B25" s="10">
        <f>1-B24</f>
        <v>0.3833038261180418</v>
      </c>
    </row>
    <row r="26" spans="1:2" x14ac:dyDescent="0.25">
      <c r="A26" t="s">
        <v>27</v>
      </c>
      <c r="B26" s="12">
        <f>B24*B20+B25*B21*(1-B8)</f>
        <v>0.05974935481526229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19643000000</v>
      </c>
      <c r="C29" s="8" t="s">
        <v>30</v>
      </c>
    </row>
    <row r="30" spans="1:2" x14ac:dyDescent="0.25">
      <c r="A30" t="s">
        <v>31</v>
      </c>
      <c r="B30" s="11">
        <v>20415000000</v>
      </c>
    </row>
    <row r="31" spans="1:2" x14ac:dyDescent="0.25">
      <c r="A31" t="s">
        <v>32</v>
      </c>
      <c r="B31" s="13">
        <v>2231000000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-0.015013877293924671</v>
      </c>
      <c r="C5" s="10">
        <f>Assumptions!B6</f>
        <v>-0.015013877293924671</v>
      </c>
      <c r="D5" s="10">
        <f>Assumptions!B6</f>
        <v>-0.015013877293924671</v>
      </c>
      <c r="E5" s="10">
        <f>Assumptions!B6</f>
        <v>-0.015013877293924671</v>
      </c>
      <c r="F5" s="10">
        <f>Assumptions!B6</f>
        <v>-0.015013877293924671</v>
      </c>
    </row>
    <row r="6" spans="1:6" x14ac:dyDescent="0.25">
      <c r="A6" t="s">
        <v>43</v>
      </c>
      <c r="B6" s="18">
        <f>Assumptions!B29*(1+B5)</f>
        <v>19348082408.315437</v>
      </c>
      <c r="C6" s="18">
        <f>B6*(1+C5)</f>
        <v>19057592673.164246</v>
      </c>
      <c r="D6" s="18">
        <f>C6*(1+D5)</f>
        <v>18771464315.25176</v>
      </c>
      <c r="E6" s="18">
        <f>D6*(1+E5)</f>
        <v>18489631853.395283</v>
      </c>
      <c r="F6" s="18">
        <f>E6*(1+F5)</f>
        <v>18212030789.538567</v>
      </c>
    </row>
    <row r="7" spans="1:6" x14ac:dyDescent="0.25">
      <c r="A7" t="s">
        <v>5</v>
      </c>
      <c r="B7" s="10">
        <f>Assumptions!B7</f>
        <v>0.23518102546617137</v>
      </c>
      <c r="C7" s="10">
        <f>Assumptions!B7</f>
        <v>0.23518102546617137</v>
      </c>
      <c r="D7" s="10">
        <f>Assumptions!B7</f>
        <v>0.23518102546617137</v>
      </c>
      <c r="E7" s="10">
        <f>Assumptions!B7</f>
        <v>0.23518102546617137</v>
      </c>
      <c r="F7" s="10">
        <f>Assumptions!B7</f>
        <v>0.23518102546617137</v>
      </c>
    </row>
    <row r="8" spans="1:6" x14ac:dyDescent="0.25">
      <c r="A8" t="s">
        <v>44</v>
      </c>
      <c r="B8" s="18">
        <f>B6*B7</f>
        <v>4550301861.591615</v>
      </c>
      <c r="C8" s="18">
        <f>C6*C7</f>
        <v>4481984187.791361</v>
      </c>
      <c r="D8" s="18">
        <f>D6*D7</f>
        <v>4414692227.162551</v>
      </c>
      <c r="E8" s="18">
        <f>E6*E7</f>
        <v>4348410579.773489</v>
      </c>
      <c r="F8" s="18">
        <f>F6*F7</f>
        <v>4283124076.9051666</v>
      </c>
    </row>
    <row r="9" spans="1:6" x14ac:dyDescent="0.25">
      <c r="A9" t="s">
        <v>45</v>
      </c>
      <c r="B9" s="18">
        <f>B8*(1-Assumptions!B8)</f>
        <v>3473368744.6677117</v>
      </c>
      <c r="C9" s="18">
        <f>C8*(1-Assumptions!B8)</f>
        <v>3421220012.5387173</v>
      </c>
      <c r="D9" s="18">
        <f>D8*(1-Assumptions!B8)</f>
        <v>3369854235.0749416</v>
      </c>
      <c r="E9" s="18">
        <f>E8*(1-Assumptions!B8)</f>
        <v>3319259657.091114</v>
      </c>
      <c r="F9" s="18">
        <f>F8*(1-Assumptions!B8)</f>
        <v>3269424699.8928742</v>
      </c>
    </row>
    <row r="10" spans="1:6" x14ac:dyDescent="0.25">
      <c r="A10" t="s">
        <v>46</v>
      </c>
      <c r="B10" s="18">
        <f>B6*Assumptions!B9</f>
        <v>1444024525.4254582</v>
      </c>
      <c r="C10" s="18">
        <f>C6*Assumptions!B9</f>
        <v>1422344118.3913026</v>
      </c>
      <c r="D10" s="18">
        <f>D6*Assumptions!B9</f>
        <v>1400989218.32804</v>
      </c>
      <c r="E10" s="18">
        <f>E6*Assumptions!B9</f>
        <v>1379954938.1139512</v>
      </c>
      <c r="F10" s="18">
        <f>F6*Assumptions!B9</f>
        <v>1359236464.0019631</v>
      </c>
    </row>
    <row r="11" spans="1:6" x14ac:dyDescent="0.25">
      <c r="A11" t="s">
        <v>47</v>
      </c>
      <c r="B11" s="18">
        <f>-B6*Assumptions!B10</f>
        <v>-1373700972.292448</v>
      </c>
      <c r="C11" s="18">
        <f>-C6*Assumptions!B10</f>
        <v>-1353076394.455904</v>
      </c>
      <c r="D11" s="18">
        <f>-D6*Assumptions!B10</f>
        <v>-1332761471.500237</v>
      </c>
      <c r="E11" s="18">
        <f>-E6*Assumptions!B10</f>
        <v>-1312751554.305062</v>
      </c>
      <c r="F11" s="18">
        <f>-F6*Assumptions!B10</f>
        <v>-1293042063.551317</v>
      </c>
    </row>
    <row r="12" spans="1:6" x14ac:dyDescent="0.25">
      <c r="A12" t="s">
        <v>48</v>
      </c>
      <c r="B12" s="18">
        <f>-(B6-Assumptions!B29)*Assumptions!B11</f>
        <v>-294917591.6845627</v>
      </c>
      <c r="C12" s="18">
        <f>-(C6-B6)*Assumptions!B11</f>
        <v>-290489735.1511917</v>
      </c>
      <c r="D12" s="18">
        <f>-(D6-C6)*Assumptions!B11</f>
        <v>-286128357.91248703</v>
      </c>
      <c r="E12" s="18">
        <f>-(E6-D6)*Assumptions!B11</f>
        <v>-281832461.85647583</v>
      </c>
      <c r="F12" s="18">
        <f>-(F6-E6)*Assumptions!B11</f>
        <v>-277601063.85671616</v>
      </c>
    </row>
    <row r="13" spans="1:6" x14ac:dyDescent="0.25">
      <c r="A13" s="19" t="s">
        <v>49</v>
      </c>
      <c r="B13" s="20">
        <f>B9+B10+B11+B12</f>
        <v>3248774706.1161594</v>
      </c>
      <c r="C13" s="20">
        <f>C9+C10+C11+C12</f>
        <v>3199998001.3229237</v>
      </c>
      <c r="D13" s="20">
        <f>D9+D10+D11+D12</f>
        <v>3151953623.9902577</v>
      </c>
      <c r="E13" s="20">
        <f>E9+E10+E11+E12</f>
        <v>3104630579.0435266</v>
      </c>
      <c r="F13" s="20">
        <f>F9+F10+F11+F12</f>
        <v>3058018036.486804</v>
      </c>
    </row>
    <row r="14" spans="1:6" x14ac:dyDescent="0.25">
      <c r="A14" t="s">
        <v>50</v>
      </c>
      <c r="B14" s="21">
        <f>1/(1+Assumptions!$B$26)^(1-0.5*Assumptions!$B$32)</f>
        <v>0.9714007167472661</v>
      </c>
      <c r="C14" s="21">
        <f>1/(1+Assumptions!$B$26)^(2-0.5*Assumptions!$B$32)</f>
        <v>0.9166325153522766</v>
      </c>
      <c r="D14" s="21">
        <f>1/(1+Assumptions!$B$26)^(3-0.5*Assumptions!$B$32)</f>
        <v>0.8649521806145056</v>
      </c>
      <c r="E14" s="21">
        <f>1/(1+Assumptions!$B$26)^(4-0.5*Assumptions!$B$32)</f>
        <v>0.8161856166124167</v>
      </c>
      <c r="F14" s="21">
        <f>1/(1+Assumptions!$B$26)^(5-0.5*Assumptions!$B$32)</f>
        <v>0.7701685430652571</v>
      </c>
    </row>
    <row r="15" spans="1:6" x14ac:dyDescent="0.25">
      <c r="A15" s="19" t="s">
        <v>51</v>
      </c>
      <c r="B15" s="20">
        <f>B13*B14</f>
        <v>3155862078.071626</v>
      </c>
      <c r="C15" s="20">
        <f>C13*C14</f>
        <v>2933222217.074889</v>
      </c>
      <c r="D15" s="20">
        <f>D13*D14</f>
        <v>2726289160.266167</v>
      </c>
      <c r="E15" s="20">
        <f>E13*E14</f>
        <v>2533954823.510405</v>
      </c>
      <c r="F15" s="20">
        <f>F13*F14</f>
        <v>2355189295.82832</v>
      </c>
    </row>
    <row r="17" spans="1:2" x14ac:dyDescent="0.25">
      <c r="A17" s="22" t="s">
        <v>52</v>
      </c>
      <c r="B17" s="23">
        <f>SUM(B15:F15)</f>
        <v>13704517574.751406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3058018036.486804</v>
      </c>
    </row>
    <row r="5" spans="1:2" x14ac:dyDescent="0.25">
      <c r="A5" t="s">
        <v>56</v>
      </c>
      <c r="B5" s="18">
        <f>IF(Assumptions!$B$33=0,B4,B4-Forecast!F11-Forecast!F10-Forecast!F12)</f>
        <v>3269424699.8928742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0.21446093678747793</v>
      </c>
    </row>
    <row r="7" spans="1:2" x14ac:dyDescent="0.25">
      <c r="A7" t="s">
        <v>58</v>
      </c>
      <c r="B7" s="18">
        <f>-MAX(Forecast!F9,0)*B6</f>
        <v>-701163883.8951447</v>
      </c>
    </row>
    <row r="8" spans="1:2" x14ac:dyDescent="0.25">
      <c r="A8" t="s">
        <v>59</v>
      </c>
      <c r="B8" s="18">
        <f>IF(OR(Assumptions!$B$33=0,Assumptions!B12&lt;=0),B5,MAX(B5+B7,0))</f>
        <v>2568260815.9977293</v>
      </c>
    </row>
    <row r="9" spans="1:2" x14ac:dyDescent="0.25">
      <c r="A9" t="s">
        <v>60</v>
      </c>
      <c r="B9" s="18">
        <f>B8*(1+Assumptions!B12)/(Assumptions!B26-Assumptions!B12)</f>
        <v>75755862242.41103</v>
      </c>
    </row>
    <row r="10" spans="1:2" x14ac:dyDescent="0.25">
      <c r="A10" t="s">
        <v>61</v>
      </c>
      <c r="B10" s="18">
        <f>B9/(1+Assumptions!B26)^(5-0.5*Assumptions!B32)</f>
        <v>58344782051.890015</v>
      </c>
    </row>
    <row r="11" spans="1:2" x14ac:dyDescent="0.25">
      <c r="A11" t="s">
        <v>62</v>
      </c>
      <c r="B11" s="18">
        <f>Forecast!B17+B10</f>
        <v>72049299626.64142</v>
      </c>
    </row>
    <row r="12" spans="1:2" x14ac:dyDescent="0.25">
      <c r="A12" t="s">
        <v>63</v>
      </c>
      <c r="B12" s="18">
        <f>-Assumptions!B30</f>
        <v>-20415000000</v>
      </c>
    </row>
    <row r="13" spans="1:2" x14ac:dyDescent="0.25">
      <c r="A13" t="s">
        <v>64</v>
      </c>
      <c r="B13" s="18">
        <f>B11+B12</f>
        <v>51634299626.64142</v>
      </c>
    </row>
    <row r="14" spans="1:2" x14ac:dyDescent="0.25">
      <c r="A14" s="19" t="s">
        <v>65</v>
      </c>
      <c r="B14" s="24">
        <f>B13/Assumptions!B31</f>
        <v>23.14401596891144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5642360540.907129</v>
      </c>
    </row>
    <row r="18" spans="1:2" x14ac:dyDescent="0.25">
      <c r="A18" t="s">
        <v>60</v>
      </c>
      <c r="B18" s="18">
        <f>B17*Assumptions!B13</f>
        <v>56189407513.60781</v>
      </c>
    </row>
    <row r="19" spans="1:2" x14ac:dyDescent="0.25">
      <c r="A19" t="s">
        <v>61</v>
      </c>
      <c r="B19" s="18">
        <f>B18/(1+Assumptions!B26)^(5-0.5*Assumptions!B32)</f>
        <v>43275314120.45534</v>
      </c>
    </row>
    <row r="20" spans="1:2" x14ac:dyDescent="0.25">
      <c r="A20" t="s">
        <v>62</v>
      </c>
      <c r="B20" s="18">
        <f>Forecast!B17+B19</f>
        <v>56979831695.20674</v>
      </c>
    </row>
    <row r="21" spans="1:2" x14ac:dyDescent="0.25">
      <c r="A21" t="s">
        <v>63</v>
      </c>
      <c r="B21" s="18">
        <f>-Assumptions!B30</f>
        <v>-20415000000</v>
      </c>
    </row>
    <row r="22" spans="1:2" x14ac:dyDescent="0.25">
      <c r="A22" t="s">
        <v>64</v>
      </c>
      <c r="B22" s="18">
        <f>B20+B21</f>
        <v>36564831695.20674</v>
      </c>
    </row>
    <row r="23" spans="1:2" x14ac:dyDescent="0.25">
      <c r="A23" s="19" t="s">
        <v>65</v>
      </c>
      <c r="B23" s="25">
        <f>B22/Assumptions!B31</f>
        <v>16.38943599067985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1606</v>
      </c>
    </row>
    <row r="27" spans="1:3" x14ac:dyDescent="0.25">
      <c r="A27" t="s">
        <v>70</v>
      </c>
      <c r="B27" s="27">
        <v>74.663</v>
      </c>
      <c r="C27" s="8" t="s">
        <v>71</v>
      </c>
    </row>
    <row r="28" spans="1:2" x14ac:dyDescent="0.25">
      <c r="A28" t="s">
        <v>72</v>
      </c>
      <c r="B28" s="28">
        <f>B14*B27</f>
        <v>1728.0016642868347</v>
      </c>
    </row>
    <row r="29" spans="1:2" x14ac:dyDescent="0.25">
      <c r="A29" s="19" t="s">
        <v>73</v>
      </c>
      <c r="B29" s="12">
        <f>B28/B26-1</f>
        <v>0.07596616705282355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0.039749</v>
      </c>
      <c r="B5" s="31">
        <v>41.21841092965754</v>
      </c>
      <c r="C5" s="31">
        <v>49.89071227656035</v>
      </c>
      <c r="D5" s="31">
        <v>64.40717764609334</v>
      </c>
      <c r="E5" s="31">
        <v>93.75975086218239</v>
      </c>
      <c r="F5" s="31">
        <v>184.80916422601535</v>
      </c>
    </row>
    <row r="6" spans="1:6" x14ac:dyDescent="0.25">
      <c r="A6" s="30">
        <v>0.049749</v>
      </c>
      <c r="B6" s="31">
        <v>27.10851433289068</v>
      </c>
      <c r="C6" s="31">
        <v>30.587169075050166</v>
      </c>
      <c r="D6" s="31">
        <v>35.450984635237724</v>
      </c>
      <c r="E6" s="31">
        <v>42.75203515748199</v>
      </c>
      <c r="F6" s="31">
        <v>54.969032719269606</v>
      </c>
    </row>
    <row r="7" spans="1:6" x14ac:dyDescent="0.25">
      <c r="A7" s="30">
        <v>0.059749</v>
      </c>
      <c r="B7" s="31">
        <v>19.298097090199395</v>
      </c>
      <c r="C7" s="31">
        <v>20.985394293541237</v>
      </c>
      <c r="D7" s="32">
        <v>23.144327243860626</v>
      </c>
      <c r="E7" s="31">
        <v>26.01270347097918</v>
      </c>
      <c r="F7" s="31">
        <v>30.02050597024974</v>
      </c>
    </row>
    <row r="8" spans="1:6" x14ac:dyDescent="0.25">
      <c r="A8" s="30">
        <v>0.069749</v>
      </c>
      <c r="B8" s="31">
        <v>14.33560198107679</v>
      </c>
      <c r="C8" s="31">
        <v>15.235415313875484</v>
      </c>
      <c r="D8" s="31">
        <v>16.32593828263003</v>
      </c>
      <c r="E8" s="31">
        <v>17.679138598209583</v>
      </c>
      <c r="F8" s="31">
        <v>19.408405428716108</v>
      </c>
    </row>
    <row r="9" spans="1:6" x14ac:dyDescent="0.25">
      <c r="A9" s="30">
        <v>0.079749</v>
      </c>
      <c r="B9" s="31">
        <v>10.901726171402576</v>
      </c>
      <c r="C9" s="31">
        <v>11.403600200746164</v>
      </c>
      <c r="D9" s="31">
        <v>11.98901369322248</v>
      </c>
      <c r="E9" s="31">
        <v>12.683154932957645</v>
      </c>
      <c r="F9" s="31">
        <v>13.522469789331598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19643000000</v>
      </c>
      <c r="C5" s="18">
        <v>20245000000</v>
      </c>
      <c r="D5" s="18">
        <v>20269000000</v>
      </c>
      <c r="E5" s="18">
        <v>20555000000</v>
      </c>
      <c r="F5" s="8" t="s">
        <v>84</v>
      </c>
    </row>
    <row r="6" spans="1:6" x14ac:dyDescent="0.25">
      <c r="A6" t="s">
        <v>44</v>
      </c>
      <c r="B6" s="18">
        <v>3156000000</v>
      </c>
      <c r="C6" s="18">
        <v>4335000000</v>
      </c>
      <c r="D6" s="18">
        <v>6001000000</v>
      </c>
      <c r="E6" s="18">
        <v>5547000000</v>
      </c>
      <c r="F6" s="8" t="s">
        <v>85</v>
      </c>
    </row>
    <row r="7" spans="1:6" x14ac:dyDescent="0.25">
      <c r="A7" t="s">
        <v>86</v>
      </c>
      <c r="B7" s="18">
        <v>2480000000</v>
      </c>
      <c r="C7" s="18">
        <v>1718000000</v>
      </c>
      <c r="D7" s="18">
        <v>493000000</v>
      </c>
      <c r="E7" s="18">
        <v>1297000000</v>
      </c>
      <c r="F7" s="8" t="s">
        <v>87</v>
      </c>
    </row>
    <row r="8" spans="1:6" x14ac:dyDescent="0.25">
      <c r="A8" t="s">
        <v>88</v>
      </c>
      <c r="B8" s="18">
        <v>1197000000</v>
      </c>
      <c r="C8" s="18">
        <v>1612000000</v>
      </c>
      <c r="D8" s="18">
        <v>1510000000</v>
      </c>
      <c r="E8" s="18">
        <v>1417000000</v>
      </c>
      <c r="F8" s="8" t="s">
        <v>89</v>
      </c>
    </row>
    <row r="9" spans="1:6" x14ac:dyDescent="0.25">
      <c r="A9" t="s">
        <v>90</v>
      </c>
      <c r="B9" s="18">
        <v>-76000000</v>
      </c>
      <c r="C9" s="18">
        <v>77000000</v>
      </c>
      <c r="D9" s="18">
        <v>768000000</v>
      </c>
      <c r="E9" s="18">
        <v>1414000000</v>
      </c>
      <c r="F9" s="8" t="s">
        <v>91</v>
      </c>
    </row>
    <row r="10" spans="1:6" x14ac:dyDescent="0.25">
      <c r="A10" t="s">
        <v>92</v>
      </c>
      <c r="B10" s="18">
        <v>22196000000</v>
      </c>
      <c r="C10" s="18">
        <v>24401000000</v>
      </c>
      <c r="D10" s="18">
        <v>22105000000</v>
      </c>
      <c r="E10" s="18">
        <v>21355000000</v>
      </c>
      <c r="F10" s="8" t="s">
        <v>93</v>
      </c>
    </row>
    <row r="11" spans="1:6" x14ac:dyDescent="0.25">
      <c r="A11" t="s">
        <v>94</v>
      </c>
      <c r="B11" s="18">
        <v>1781000000</v>
      </c>
      <c r="C11" s="18">
        <v>2647000000</v>
      </c>
      <c r="D11" s="18">
        <v>1405000000</v>
      </c>
      <c r="E11" s="18">
        <v>2062000000</v>
      </c>
      <c r="F11" s="8" t="s">
        <v>95</v>
      </c>
    </row>
    <row r="12" spans="1:6" x14ac:dyDescent="0.25">
      <c r="A12" t="s">
        <v>32</v>
      </c>
      <c r="B12" s="34">
        <v>2231000000</v>
      </c>
      <c r="C12" s="34">
        <v>2228000000</v>
      </c>
      <c r="D12" s="34">
        <v>2239000000</v>
      </c>
      <c r="E12" s="34">
        <v>2271000000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2026-09-19T00:07:49Z</dcterms:modified>
</cp:coreProperties>
</file>