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<sst xmlns="http://schemas.openxmlformats.org/spreadsheetml/2006/main" count="111" uniqueCount="99">
  <si>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Quest Diagnostics Incorporated (DGX)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</si>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</sst>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0.03743568077946513</v>
      </c>
    </row>
    <row r="7" spans="1:2" x14ac:dyDescent="0.25">
      <c r="A7" t="s">
        <v>5</v>
      </c>
      <c r="B7" s="6">
        <v>0.13956114709108744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0.04831489846348115</v>
      </c>
    </row>
    <row r="10" spans="1:2" x14ac:dyDescent="0.25">
      <c r="A10" t="s">
        <v>8</v>
      </c>
      <c r="B10" s="6">
        <v>0.04394625974436639</v>
      </c>
    </row>
    <row r="11" spans="1:2" x14ac:dyDescent="0.25">
      <c r="A11" t="s">
        <v>9</v>
      </c>
      <c r="B11" s="6">
        <v>-0.04299226139294927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15.694503044214487</v>
      </c>
    </row>
    <row r="14" spans="1:3" x14ac:dyDescent="0.25">
      <c r="A14" t="s">
        <v>12</v>
      </c>
      <c r="B14" s="6">
        <v>0.09183061523773389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0.69783</v>
      </c>
      <c r="C19" s="8" t="s">
        <v>19</v>
      </c>
    </row>
    <row r="20" spans="1:2" x14ac:dyDescent="0.25">
      <c r="A20" t="s">
        <v>20</v>
      </c>
      <c r="B20" s="10">
        <f>B17+B19*B18</f>
        <v>0.08836065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27201513472</v>
      </c>
    </row>
    <row r="23" spans="1:2" x14ac:dyDescent="0.25">
      <c r="A23" t="s">
        <v>24</v>
      </c>
      <c r="B23" s="11">
        <v>6585000000</v>
      </c>
    </row>
    <row r="24" spans="1:2" x14ac:dyDescent="0.25">
      <c r="A24" t="s">
        <v>25</v>
      </c>
      <c r="B24" s="10">
        <f>B22/(B22+B23)</f>
        <v>0.8050997477008923</v>
      </c>
    </row>
    <row r="25" spans="1:2" x14ac:dyDescent="0.25">
      <c r="A25" t="s">
        <v>26</v>
      </c>
      <c r="B25" s="10">
        <f>1-B24</f>
        <v>0.19490025229910768</v>
      </c>
    </row>
    <row r="26" spans="1:2" x14ac:dyDescent="0.25">
      <c r="A26" t="s">
        <v>27</v>
      </c>
      <c r="B26" s="12">
        <f>B24*B20+B25*B21*(1-B8)</f>
        <v>0.07883461756351529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11035000000</v>
      </c>
      <c r="C29" s="8" t="s">
        <v>30</v>
      </c>
    </row>
    <row r="30" spans="1:2" x14ac:dyDescent="0.25">
      <c r="A30" t="s">
        <v>31</v>
      </c>
      <c r="B30" s="11">
        <v>6165000000</v>
      </c>
    </row>
    <row r="31" spans="1:2" x14ac:dyDescent="0.25">
      <c r="A31" t="s">
        <v>32</v>
      </c>
      <c r="B31" s="13">
        <v>113000000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0.03743568077946513</v>
      </c>
      <c r="C5" s="10">
        <f>Assumptions!B6</f>
        <v>0.03743568077946513</v>
      </c>
      <c r="D5" s="10">
        <f>Assumptions!B6</f>
        <v>0.03743568077946513</v>
      </c>
      <c r="E5" s="10">
        <f>Assumptions!B6</f>
        <v>0.03743568077946513</v>
      </c>
      <c r="F5" s="10">
        <f>Assumptions!B6</f>
        <v>0.03743568077946513</v>
      </c>
    </row>
    <row r="6" spans="1:6" x14ac:dyDescent="0.25">
      <c r="A6" t="s">
        <v>43</v>
      </c>
      <c r="B6" s="18">
        <f>Assumptions!B29*(1+B5)</f>
        <v>11448102737.401398</v>
      </c>
      <c r="C6" s="18">
        <f>B6*(1+C5)</f>
        <v>11876670257.009277</v>
      </c>
      <c r="D6" s="18">
        <f>C6*(1+D5)</f>
        <v>12321281493.473644</v>
      </c>
      <c r="E6" s="18">
        <f>D6*(1+E5)</f>
        <v>12782537054.257256</v>
      </c>
      <c r="F6" s="18">
        <f>E6*(1+F5)</f>
        <v>13261060030.972115</v>
      </c>
    </row>
    <row r="7" spans="1:6" x14ac:dyDescent="0.25">
      <c r="A7" t="s">
        <v>5</v>
      </c>
      <c r="B7" s="10">
        <f>Assumptions!B7</f>
        <v>0.13956114709108744</v>
      </c>
      <c r="C7" s="10">
        <f>Assumptions!B7</f>
        <v>0.13956114709108744</v>
      </c>
      <c r="D7" s="10">
        <f>Assumptions!B7</f>
        <v>0.13956114709108744</v>
      </c>
      <c r="E7" s="10">
        <f>Assumptions!B7</f>
        <v>0.13956114709108744</v>
      </c>
      <c r="F7" s="10">
        <f>Assumptions!B7</f>
        <v>0.13956114709108744</v>
      </c>
    </row>
    <row r="8" spans="1:6" x14ac:dyDescent="0.25">
      <c r="A8" t="s">
        <v>44</v>
      </c>
      <c r="B8" s="18">
        <f>B6*B7</f>
        <v>1597710350.0483572</v>
      </c>
      <c r="C8" s="18">
        <f>C6*C7</f>
        <v>1657521724.690815</v>
      </c>
      <c r="D8" s="18">
        <f>D6*D7</f>
        <v>1719572178.861369</v>
      </c>
      <c r="E8" s="18">
        <f>E6*E7</f>
        <v>1783945534.0264723</v>
      </c>
      <c r="F8" s="18">
        <f>F6*F7</f>
        <v>1850728749.5662398</v>
      </c>
    </row>
    <row r="9" spans="1:6" x14ac:dyDescent="0.25">
      <c r="A9" t="s">
        <v>45</v>
      </c>
      <c r="B9" s="18">
        <f>B8*(1-Assumptions!B8)</f>
        <v>1262191176.5382023</v>
      </c>
      <c r="C9" s="18">
        <f>C8*(1-Assumptions!B8)</f>
        <v>1309442162.505744</v>
      </c>
      <c r="D9" s="18">
        <f>D8*(1-Assumptions!B8)</f>
        <v>1358462021.3004816</v>
      </c>
      <c r="E9" s="18">
        <f>E8*(1-Assumptions!B8)</f>
        <v>1409316971.8809133</v>
      </c>
      <c r="F9" s="18">
        <f>F8*(1-Assumptions!B8)</f>
        <v>1462075712.1573296</v>
      </c>
    </row>
    <row r="10" spans="1:6" x14ac:dyDescent="0.25">
      <c r="A10" t="s">
        <v>46</v>
      </c>
      <c r="B10" s="18">
        <f>B6*Assumptions!B9</f>
        <v>553113921.3570491</v>
      </c>
      <c r="C10" s="18">
        <f>C6*Assumptions!B9</f>
        <v>573820117.5516498</v>
      </c>
      <c r="D10" s="18">
        <f>D6*Assumptions!B9</f>
        <v>595301464.2971485</v>
      </c>
      <c r="E10" s="18">
        <f>E6*Assumptions!B9</f>
        <v>617586979.8821248</v>
      </c>
      <c r="F10" s="18">
        <f>F6*Assumptions!B9</f>
        <v>640706768.9145459</v>
      </c>
    </row>
    <row r="11" spans="1:6" x14ac:dyDescent="0.25">
      <c r="A11" t="s">
        <v>47</v>
      </c>
      <c r="B11" s="18">
        <f>-B6*Assumptions!B10</f>
        <v>-503101296.4780337</v>
      </c>
      <c r="C11" s="18">
        <f>-C6*Assumptions!B10</f>
        <v>-521935236.0127204</v>
      </c>
      <c r="D11" s="18">
        <f>-D6*Assumptions!B10</f>
        <v>-541474236.8956474</v>
      </c>
      <c r="E11" s="18">
        <f>-E6*Assumptions!B10</f>
        <v>-561744693.5783774</v>
      </c>
      <c r="F11" s="18">
        <f>-F6*Assumptions!B10</f>
        <v>-582773988.606736</v>
      </c>
    </row>
    <row r="12" spans="1:6" x14ac:dyDescent="0.25">
      <c r="A12" t="s">
        <v>48</v>
      </c>
      <c r="B12" s="18">
        <f>-(B6-Assumptions!B29)*Assumptions!B11</f>
        <v>17760220.868503768</v>
      </c>
      <c r="C12" s="18">
        <f>-(C6-B6)*Assumptions!B11</f>
        <v>18425086.827509873</v>
      </c>
      <c r="D12" s="18">
        <f>-(D6-C6)*Assumptions!B11</f>
        <v>19114842.49631844</v>
      </c>
      <c r="E12" s="18">
        <f>-(E6-D6)*Assumptions!B11</f>
        <v>19830419.638160415</v>
      </c>
      <c r="F12" s="18">
        <f>-(F6-E6)*Assumptions!B11</f>
        <v>20572784.897457395</v>
      </c>
    </row>
    <row r="13" spans="1:6" x14ac:dyDescent="0.25">
      <c r="A13" s="19" t="s">
        <v>49</v>
      </c>
      <c r="B13" s="20">
        <f>B9+B10+B11+B12</f>
        <v>1329964022.2857213</v>
      </c>
      <c r="C13" s="20">
        <f>C9+C10+C11+C12</f>
        <v>1379752130.8721833</v>
      </c>
      <c r="D13" s="20">
        <f>D9+D10+D11+D12</f>
        <v>1431404091.1983008</v>
      </c>
      <c r="E13" s="20">
        <f>E9+E10+E11+E12</f>
        <v>1484989677.8228214</v>
      </c>
      <c r="F13" s="20">
        <f>F9+F10+F11+F12</f>
        <v>1540581277.362597</v>
      </c>
    </row>
    <row r="14" spans="1:6" x14ac:dyDescent="0.25">
      <c r="A14" t="s">
        <v>50</v>
      </c>
      <c r="B14" s="21">
        <f>1/(1+Assumptions!$B$26)^(1-0.5*Assumptions!$B$32)</f>
        <v>0.9627700311134917</v>
      </c>
      <c r="C14" s="21">
        <f>1/(1+Assumptions!$B$26)^(2-0.5*Assumptions!$B$32)</f>
        <v>0.8924167017256559</v>
      </c>
      <c r="D14" s="21">
        <f>1/(1+Assumptions!$B$26)^(3-0.5*Assumptions!$B$32)</f>
        <v>0.8272043621858619</v>
      </c>
      <c r="E14" s="21">
        <f>1/(1+Assumptions!$B$26)^(4-0.5*Assumptions!$B$32)</f>
        <v>0.7667573404847302</v>
      </c>
      <c r="F14" s="21">
        <f>1/(1+Assumptions!$B$26)^(5-0.5*Assumptions!$B$32)</f>
        <v>0.7107274164194014</v>
      </c>
    </row>
    <row r="15" spans="1:6" x14ac:dyDescent="0.25">
      <c r="A15" s="19" t="s">
        <v>51</v>
      </c>
      <c r="B15" s="20">
        <f>B13*B14</f>
        <v>1280449503.1158485</v>
      </c>
      <c r="C15" s="20">
        <f>C13*C14</f>
        <v>1231313845.8318994</v>
      </c>
      <c r="D15" s="20">
        <f>D13*D14</f>
        <v>1184063708.2899237</v>
      </c>
      <c r="E15" s="20">
        <f>E13*E14</f>
        <v>1138626736.0147028</v>
      </c>
      <c r="F15" s="20">
        <f>F13*F14</f>
        <v>1094933351.0440197</v>
      </c>
    </row>
    <row r="17" spans="1:2" x14ac:dyDescent="0.25">
      <c r="A17" s="22" t="s">
        <v>52</v>
      </c>
      <c r="B17" s="23">
        <f>SUM(B15:F15)</f>
        <v>5929387144.296394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1540581277.362597</v>
      </c>
    </row>
    <row r="5" spans="1:2" x14ac:dyDescent="0.25">
      <c r="A5" t="s">
        <v>56</v>
      </c>
      <c r="B5" s="18">
        <f>IF(Assumptions!$B$33=0,B4,B4-Forecast!F11-Forecast!F10-Forecast!F12)</f>
        <v>1594693033.1411388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0.272240362707788</v>
      </c>
    </row>
    <row r="7" spans="1:2" x14ac:dyDescent="0.25">
      <c r="A7" t="s">
        <v>58</v>
      </c>
      <c r="B7" s="18">
        <f>-MAX(Forecast!F9,0)*B6</f>
        <v>-434139809.7499262</v>
      </c>
    </row>
    <row r="8" spans="1:2" x14ac:dyDescent="0.25">
      <c r="A8" t="s">
        <v>59</v>
      </c>
      <c r="B8" s="18">
        <f>IF(OR(Assumptions!$B$33=0,Assumptions!B12&lt;=0),B5,MAX(B5+B7,0))</f>
        <v>1160553223.3912125</v>
      </c>
    </row>
    <row r="9" spans="1:2" x14ac:dyDescent="0.25">
      <c r="A9" t="s">
        <v>60</v>
      </c>
      <c r="B9" s="18">
        <f>B8*(1+Assumptions!B12)/(Assumptions!B26-Assumptions!B12)</f>
        <v>22096693685.48063</v>
      </c>
    </row>
    <row r="10" spans="1:2" x14ac:dyDescent="0.25">
      <c r="A10" t="s">
        <v>61</v>
      </c>
      <c r="B10" s="18">
        <f>B9/(1+Assumptions!B26)^(5-0.5*Assumptions!B32)</f>
        <v>15704726014.492548</v>
      </c>
    </row>
    <row r="11" spans="1:2" x14ac:dyDescent="0.25">
      <c r="A11" t="s">
        <v>62</v>
      </c>
      <c r="B11" s="18">
        <f>Forecast!B17+B10</f>
        <v>21634113158.78894</v>
      </c>
    </row>
    <row r="12" spans="1:2" x14ac:dyDescent="0.25">
      <c r="A12" t="s">
        <v>63</v>
      </c>
      <c r="B12" s="18">
        <f>-Assumptions!B30</f>
        <v>-6165000000</v>
      </c>
    </row>
    <row r="13" spans="1:2" x14ac:dyDescent="0.25">
      <c r="A13" t="s">
        <v>64</v>
      </c>
      <c r="B13" s="18">
        <f>B11+B12</f>
        <v>15469113158.78894</v>
      </c>
    </row>
    <row r="14" spans="1:2" x14ac:dyDescent="0.25">
      <c r="A14" s="19" t="s">
        <v>65</v>
      </c>
      <c r="B14" s="24">
        <f>B13/Assumptions!B31</f>
        <v>136.89480671494638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2491435518.480786</v>
      </c>
    </row>
    <row r="18" spans="1:2" x14ac:dyDescent="0.25">
      <c r="A18" t="s">
        <v>60</v>
      </c>
      <c r="B18" s="18">
        <f>B17*Assumptions!B13</f>
        <v>39101842329.260796</v>
      </c>
    </row>
    <row r="19" spans="1:2" x14ac:dyDescent="0.25">
      <c r="A19" t="s">
        <v>61</v>
      </c>
      <c r="B19" s="18">
        <f>B18/(1+Assumptions!B26)^(5-0.5*Assumptions!B32)</f>
        <v>27790751375.914314</v>
      </c>
    </row>
    <row r="20" spans="1:2" x14ac:dyDescent="0.25">
      <c r="A20" t="s">
        <v>62</v>
      </c>
      <c r="B20" s="18">
        <f>Forecast!B17+B19</f>
        <v>33720138520.21071</v>
      </c>
    </row>
    <row r="21" spans="1:2" x14ac:dyDescent="0.25">
      <c r="A21" t="s">
        <v>63</v>
      </c>
      <c r="B21" s="18">
        <f>-Assumptions!B30</f>
        <v>-6165000000</v>
      </c>
    </row>
    <row r="22" spans="1:2" x14ac:dyDescent="0.25">
      <c r="A22" t="s">
        <v>64</v>
      </c>
      <c r="B22" s="18">
        <f>B20+B21</f>
        <v>27555138520.21071</v>
      </c>
    </row>
    <row r="23" spans="1:2" x14ac:dyDescent="0.25">
      <c r="A23" s="19" t="s">
        <v>65</v>
      </c>
      <c r="B23" s="25">
        <f>B22/Assumptions!B31</f>
        <v>243.85078336469653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246.45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136.89480671494638</v>
      </c>
    </row>
    <row r="29" spans="1:2" x14ac:dyDescent="0.25">
      <c r="A29" s="19" t="s">
        <v>73</v>
      </c>
      <c r="B29" s="12">
        <f>B28/B26-1</f>
        <v>-0.44453314378191766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0.058835</v>
      </c>
      <c r="B5" s="31">
        <v>211.74638986013926</v>
      </c>
      <c r="C5" s="31">
        <v>224.53301857238554</v>
      </c>
      <c r="D5" s="31">
        <v>240.92317513802507</v>
      </c>
      <c r="E5" s="31">
        <v>262.7914188704239</v>
      </c>
      <c r="F5" s="31">
        <v>293.58525585313083</v>
      </c>
    </row>
    <row r="6" spans="1:6" x14ac:dyDescent="0.25">
      <c r="A6" s="30">
        <v>0.068835</v>
      </c>
      <c r="B6" s="31">
        <v>164.10302915742471</v>
      </c>
      <c r="C6" s="31">
        <v>169.99657546297738</v>
      </c>
      <c r="D6" s="31">
        <v>177.10469007227698</v>
      </c>
      <c r="E6" s="31">
        <v>185.89649940623798</v>
      </c>
      <c r="F6" s="31">
        <v>197.11843233644058</v>
      </c>
    </row>
    <row r="7" spans="1:6" x14ac:dyDescent="0.25">
      <c r="A7" s="30">
        <v>0.078835</v>
      </c>
      <c r="B7" s="31">
        <v>131.3453585154473</v>
      </c>
      <c r="C7" s="31">
        <v>133.93011397885564</v>
      </c>
      <c r="D7" s="32">
        <v>136.8935526733711</v>
      </c>
      <c r="E7" s="31">
        <v>140.35198971042215</v>
      </c>
      <c r="F7" s="31">
        <v>144.47480971731648</v>
      </c>
    </row>
    <row r="8" spans="1:6" x14ac:dyDescent="0.25">
      <c r="A8" s="30">
        <v>0.088835</v>
      </c>
      <c r="B8" s="31">
        <v>107.42721080222091</v>
      </c>
      <c r="C8" s="31">
        <v>108.28733866731729</v>
      </c>
      <c r="D8" s="31">
        <v>109.20013727994173</v>
      </c>
      <c r="E8" s="31">
        <v>110.17903506217186</v>
      </c>
      <c r="F8" s="31">
        <v>111.24244916909412</v>
      </c>
    </row>
    <row r="9" spans="1:6" x14ac:dyDescent="0.25">
      <c r="A9" s="30">
        <v>0.098835</v>
      </c>
      <c r="B9" s="31">
        <v>90.48130277378648</v>
      </c>
      <c r="C9" s="31">
        <v>90.94845853889097</v>
      </c>
      <c r="D9" s="31">
        <v>91.41561430399544</v>
      </c>
      <c r="E9" s="31">
        <v>91.88277006909996</v>
      </c>
      <c r="F9" s="31">
        <v>92.34992583420443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11035000000</v>
      </c>
      <c r="C5" s="18">
        <v>9872000000</v>
      </c>
      <c r="D5" s="18">
        <v>9252000000</v>
      </c>
      <c r="E5" s="18">
        <v>9883000000</v>
      </c>
      <c r="F5" s="8" t="s">
        <v>84</v>
      </c>
    </row>
    <row r="6" spans="1:6" x14ac:dyDescent="0.25">
      <c r="A6" t="s">
        <v>44</v>
      </c>
      <c r="B6" s="18">
        <v>1556000000</v>
      </c>
      <c r="C6" s="18">
        <v>1346000000</v>
      </c>
      <c r="D6" s="18">
        <v>1262000000</v>
      </c>
      <c r="E6" s="18">
        <v>1428000000</v>
      </c>
      <c r="F6" s="8" t="s">
        <v>85</v>
      </c>
    </row>
    <row r="7" spans="1:6" x14ac:dyDescent="0.25">
      <c r="A7" t="s">
        <v>86</v>
      </c>
      <c r="B7" s="18">
        <v>570000000</v>
      </c>
      <c r="C7" s="18">
        <v>493000000</v>
      </c>
      <c r="D7" s="18">
        <v>439000000</v>
      </c>
      <c r="E7" s="18">
        <v>437000000</v>
      </c>
      <c r="F7" s="8" t="s">
        <v>87</v>
      </c>
    </row>
    <row r="8" spans="1:6" x14ac:dyDescent="0.25">
      <c r="A8" t="s">
        <v>88</v>
      </c>
      <c r="B8" s="18">
        <v>527000000</v>
      </c>
      <c r="C8" s="18">
        <v>425000000</v>
      </c>
      <c r="D8" s="18">
        <v>408000000</v>
      </c>
      <c r="E8" s="18">
        <v>404000000</v>
      </c>
      <c r="F8" s="8" t="s">
        <v>89</v>
      </c>
    </row>
    <row r="9" spans="1:6" x14ac:dyDescent="0.25">
      <c r="A9" t="s">
        <v>90</v>
      </c>
      <c r="B9" s="18">
        <v>-50000000</v>
      </c>
      <c r="C9" s="18">
        <v>201000000</v>
      </c>
      <c r="D9" s="18">
        <v>145000000</v>
      </c>
      <c r="E9" s="18">
        <v>-119000000</v>
      </c>
      <c r="F9" s="8" t="s">
        <v>91</v>
      </c>
    </row>
    <row r="10" spans="1:6" x14ac:dyDescent="0.25">
      <c r="A10" t="s">
        <v>92</v>
      </c>
      <c r="B10" s="18">
        <v>6585000000</v>
      </c>
      <c r="C10" s="18">
        <v>7087000000</v>
      </c>
      <c r="D10" s="18">
        <v>5498000000</v>
      </c>
      <c r="E10" s="18">
        <v>4714000000</v>
      </c>
      <c r="F10" s="8" t="s">
        <v>93</v>
      </c>
    </row>
    <row r="11" spans="1:6" x14ac:dyDescent="0.25">
      <c r="A11" t="s">
        <v>94</v>
      </c>
      <c r="B11" s="18">
        <v>420000000</v>
      </c>
      <c r="C11" s="18">
        <v>549000000</v>
      </c>
      <c r="D11" s="18">
        <v>686000000</v>
      </c>
      <c r="E11" s="18">
        <v>315000000</v>
      </c>
      <c r="F11" s="8" t="s">
        <v>95</v>
      </c>
    </row>
    <row r="12" spans="1:6" x14ac:dyDescent="0.25">
      <c r="A12" t="s">
        <v>32</v>
      </c>
      <c r="B12" s="34">
        <v>113000000</v>
      </c>
      <c r="C12" s="34">
        <v>113000000</v>
      </c>
      <c r="D12" s="34">
        <v>113000000</v>
      </c>
      <c r="E12" s="34">
        <v>118000000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