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<sst xmlns="http://schemas.openxmlformats.org/spreadsheetml/2006/main" count="119" uniqueCount="106">
  <si>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Quest Diagnostics Incorporated (DGX)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</si>
  <si>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</si>
  <si>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</si>
  <si>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</si>
  <si>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</si>
  <si>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</si>
  <si>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</si>
  <si>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</si>
  <si>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</si>
  <si>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</si>
  <si>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</si>
  <si>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</si>
  <si>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</si>
  <si>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</si>
  <si>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</si>
  <si>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</si>
  <si>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</si>
  <si>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</si>
  <si>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</si>
  <si>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</si>
  <si>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</si>
  <si>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</si>
  <si>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</si>
  <si>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</si>
  <si>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+ 70bp, the spread for a A+ rating at 5.6x interest cover. Book interest / average debt was lower, at 4.1%.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</si>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</sst>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0.09506394743996371</v>
      </c>
    </row>
    <row r="7" spans="1:2" x14ac:dyDescent="0.25">
      <c r="A7" t="s">
        <v>4</v>
      </c>
      <c r="B7" s="5">
        <v>0.13956114709108744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0.04831489846348115</v>
      </c>
    </row>
    <row r="10" spans="1:3" x14ac:dyDescent="0.25">
      <c r="A10" t="s">
        <v>7</v>
      </c>
      <c r="B10" s="5">
        <v>0.04394625974436639</v>
      </c>
      <c r="C10" s="6" t="s">
        <v>8</v>
      </c>
    </row>
    <row r="11" spans="1:2" x14ac:dyDescent="0.25">
      <c r="A11" t="s">
        <v>9</v>
      </c>
      <c r="B11" s="5">
        <v>0.1136816864784474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15.97329306491063</v>
      </c>
    </row>
    <row r="14" spans="1:3" x14ac:dyDescent="0.25">
      <c r="A14" t="s">
        <v>12</v>
      </c>
      <c r="B14" s="5">
        <v>0.09183061523773389</v>
      </c>
      <c r="C14" s="6" t="s">
        <v>13</v>
      </c>
    </row>
    <row r="15" spans="1:3" x14ac:dyDescent="0.25">
      <c r="A15" t="s">
        <v>14</v>
      </c>
      <c r="B15" s="5">
        <v>0.03565602909936456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0.6918</v>
      </c>
      <c r="C19" s="6" t="s">
        <v>21</v>
      </c>
    </row>
    <row r="20" spans="1:2" x14ac:dyDescent="0.25">
      <c r="A20" t="s">
        <v>22</v>
      </c>
      <c r="B20" s="9">
        <f>B17+B19*B18</f>
        <v>0.07820314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27794221056</v>
      </c>
    </row>
    <row r="23" spans="1:2" x14ac:dyDescent="0.25">
      <c r="A23" t="s">
        <v>26</v>
      </c>
      <c r="B23" s="10">
        <v>6585000000</v>
      </c>
    </row>
    <row r="24" spans="1:2" x14ac:dyDescent="0.25">
      <c r="A24" t="s">
        <v>27</v>
      </c>
      <c r="B24" s="9">
        <f>B22/(B22+B23)</f>
        <v>0.8084598836816648</v>
      </c>
    </row>
    <row r="25" spans="1:2" x14ac:dyDescent="0.25">
      <c r="A25" t="s">
        <v>28</v>
      </c>
      <c r="B25" s="9">
        <f>1-B24</f>
        <v>0.19154011631833523</v>
      </c>
    </row>
    <row r="26" spans="1:2" x14ac:dyDescent="0.25">
      <c r="A26" t="s">
        <v>29</v>
      </c>
      <c r="B26" s="11">
        <f>B24*B20+B25*B21*(1-B8)</f>
        <v>0.07168875721235062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11035000000</v>
      </c>
      <c r="C29" s="6" t="s">
        <v>32</v>
      </c>
    </row>
    <row r="30" spans="1:2" x14ac:dyDescent="0.25">
      <c r="A30" t="s">
        <v>33</v>
      </c>
      <c r="B30" s="10">
        <v>6165000000</v>
      </c>
    </row>
    <row r="31" spans="1:2" x14ac:dyDescent="0.25">
      <c r="A31" t="s">
        <v>34</v>
      </c>
      <c r="B31" s="12">
        <v>113000000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0.09506394743996371</v>
      </c>
      <c r="C5" s="5">
        <v>0.04449414149367947</v>
      </c>
      <c r="D5" s="5">
        <v>0.04205737380696954</v>
      </c>
      <c r="E5" s="5">
        <v>0.039620606120259604</v>
      </c>
      <c r="F5" s="5">
        <v>0.03718383843354967</v>
      </c>
      <c r="G5" s="5">
        <v>0.034747070746839734</v>
      </c>
      <c r="H5" s="5">
        <v>0.0323103030601298</v>
      </c>
      <c r="I5" s="5">
        <v>0.02987353537341987</v>
      </c>
      <c r="J5" s="5">
        <v>0.027436767686709936</v>
      </c>
      <c r="K5" s="5">
        <v>0.025</v>
      </c>
    </row>
    <row r="6" spans="1:11" x14ac:dyDescent="0.25">
      <c r="A6" t="s">
        <v>50</v>
      </c>
      <c r="B6" s="18">
        <f>Assumptions!B29*(1+B5)</f>
        <v>12084030660</v>
      </c>
      <c r="C6" s="18">
        <f>B6*(1+C5)</f>
        <v>12621699230</v>
      </c>
      <c r="D6" s="18">
        <f>C6*(1+D5)</f>
        <v>13152534752.595251</v>
      </c>
      <c r="E6" s="18">
        <f>D6*(1+E5)</f>
        <v>13673646151.510853</v>
      </c>
      <c r="F6" s="18">
        <f>E6*(1+F5)</f>
        <v>14182084800.80616</v>
      </c>
      <c r="G6" s="18">
        <f>F6*(1+G5)</f>
        <v>14674870704.717453</v>
      </c>
      <c r="H6" s="18">
        <f>G6*(1+H5)</f>
        <v>15149020224.555094</v>
      </c>
      <c r="I6" s="18">
        <f>H6*(1+I5)</f>
        <v>15601575016.105993</v>
      </c>
      <c r="J6" s="18">
        <f>I6*(1+J5)</f>
        <v>16029631805.369673</v>
      </c>
      <c r="K6" s="18">
        <f>J6*(1+K5)</f>
        <v>16430372600.503914</v>
      </c>
    </row>
    <row r="7" spans="1:11" x14ac:dyDescent="0.25">
      <c r="A7" t="s">
        <v>4</v>
      </c>
      <c r="B7" s="9">
        <f>Assumptions!B7</f>
        <v>0.13956114709108744</v>
      </c>
      <c r="C7" s="9">
        <f>Assumptions!B7</f>
        <v>0.13956114709108744</v>
      </c>
      <c r="D7" s="9">
        <f>Assumptions!B7</f>
        <v>0.13956114709108744</v>
      </c>
      <c r="E7" s="9">
        <f>Assumptions!B7</f>
        <v>0.13956114709108744</v>
      </c>
      <c r="F7" s="9">
        <f>Assumptions!B7</f>
        <v>0.13956114709108744</v>
      </c>
      <c r="G7" s="9">
        <f>Assumptions!B7</f>
        <v>0.13956114709108744</v>
      </c>
      <c r="H7" s="9">
        <f>Assumptions!B7</f>
        <v>0.13956114709108744</v>
      </c>
      <c r="I7" s="9">
        <f>Assumptions!B7</f>
        <v>0.13956114709108744</v>
      </c>
      <c r="J7" s="9">
        <f>Assumptions!B7</f>
        <v>0.13956114709108744</v>
      </c>
      <c r="K7" s="9">
        <f>Assumptions!B7</f>
        <v>0.13956114709108744</v>
      </c>
    </row>
    <row r="8" spans="1:11" x14ac:dyDescent="0.25">
      <c r="A8" t="s">
        <v>51</v>
      </c>
      <c r="B8" s="18">
        <f>B6*B7</f>
        <v>1686461180.3934705</v>
      </c>
      <c r="C8" s="18">
        <f>C6*C7</f>
        <v>1761498822.7774951</v>
      </c>
      <c r="D8" s="18">
        <f>D6*D7</f>
        <v>1835582837.227585</v>
      </c>
      <c r="E8" s="18">
        <f>E6*E7</f>
        <v>1908309741.8224878</v>
      </c>
      <c r="F8" s="18">
        <f>F6*F7</f>
        <v>1979268022.943584</v>
      </c>
      <c r="G8" s="18">
        <f>G6*G7</f>
        <v>2048041788.9637625</v>
      </c>
      <c r="H8" s="18">
        <f>H6*H7</f>
        <v>2114214639.844992</v>
      </c>
      <c r="I8" s="18">
        <f>I6*I7</f>
        <v>2177373705.6754036</v>
      </c>
      <c r="J8" s="18">
        <f>J6*J7</f>
        <v>2237113802.2051706</v>
      </c>
      <c r="K8" s="18">
        <f>K6*K7</f>
        <v>2293041647.2602997</v>
      </c>
    </row>
    <row r="9" spans="1:11" x14ac:dyDescent="0.25">
      <c r="A9" t="s">
        <v>52</v>
      </c>
      <c r="B9" s="18">
        <f>B8*(1-Assumptions!B8)</f>
        <v>1332304332.5108418</v>
      </c>
      <c r="C9" s="18">
        <f>C8*(1-Assumptions!B8)</f>
        <v>1391584069.9942212</v>
      </c>
      <c r="D9" s="18">
        <f>D8*(1-Assumptions!B8)</f>
        <v>1450110441.4097922</v>
      </c>
      <c r="E9" s="18">
        <f>E8*(1-Assumptions!B8)</f>
        <v>1507564696.0397654</v>
      </c>
      <c r="F9" s="18">
        <f>F8*(1-Assumptions!B8)</f>
        <v>1563621738.1254313</v>
      </c>
      <c r="G9" s="18">
        <f>G8*(1-Assumptions!B8)</f>
        <v>1617953013.2813725</v>
      </c>
      <c r="H9" s="18">
        <f>H8*(1-Assumptions!B8)</f>
        <v>1670229565.4775436</v>
      </c>
      <c r="I9" s="18">
        <f>I8*(1-Assumptions!B8)</f>
        <v>1720125227.483569</v>
      </c>
      <c r="J9" s="18">
        <f>J8*(1-Assumptions!B8)</f>
        <v>1767319903.742085</v>
      </c>
      <c r="K9" s="18">
        <f>K8*(1-Assumptions!B8)</f>
        <v>1811502901.3356369</v>
      </c>
    </row>
    <row r="10" spans="1:11" x14ac:dyDescent="0.25">
      <c r="A10" t="s">
        <v>53</v>
      </c>
      <c r="B10" s="18">
        <f>B6*Assumptions!B9</f>
        <v>583838714.3674932</v>
      </c>
      <c r="C10" s="18">
        <f>C6*Assumptions!B9</f>
        <v>609816116.7340482</v>
      </c>
      <c r="D10" s="18">
        <f>D6*Assumptions!B9</f>
        <v>635463381.1090467</v>
      </c>
      <c r="E10" s="18">
        <f>E6*Assumptions!B9</f>
        <v>660640825.4358166</v>
      </c>
      <c r="F10" s="18">
        <f>F6*Assumptions!B9</f>
        <v>685205987.1514289</v>
      </c>
      <c r="G10" s="18">
        <f>G6*Assumptions!B9</f>
        <v>709014888.0631378</v>
      </c>
      <c r="H10" s="18">
        <f>H6*Assumptions!B9</f>
        <v>731923373.9706018</v>
      </c>
      <c r="I10" s="18">
        <f>I6*Assumptions!B9</f>
        <v>753788512.7735454</v>
      </c>
      <c r="J10" s="18">
        <f>J6*Assumptions!B9</f>
        <v>774470033.0834239</v>
      </c>
      <c r="K10" s="18">
        <f>K6*Assumptions!B9</f>
        <v>793831783.9105093</v>
      </c>
    </row>
    <row r="11" spans="1:11" x14ac:dyDescent="0.25">
      <c r="A11" t="s">
        <v>54</v>
      </c>
      <c r="B11" s="18">
        <f>-B6*B19</f>
        <v>-531047950.1432472</v>
      </c>
      <c r="C11" s="18">
        <f>-C6*C19</f>
        <v>-588962212.2651101</v>
      </c>
      <c r="D11" s="18">
        <f>-D6*D19</f>
        <v>-649460123.8346907</v>
      </c>
      <c r="E11" s="18">
        <f>-E6*E19</f>
        <v>-712335388.6745139</v>
      </c>
      <c r="F11" s="18">
        <f>-F6*F19</f>
        <v>-777347142.7790298</v>
      </c>
      <c r="G11" s="18">
        <f>-G6*G19</f>
        <v>-844220678.7539067</v>
      </c>
      <c r="H11" s="18">
        <f>-H6*H19</f>
        <v>-912648690.148697</v>
      </c>
      <c r="I11" s="18">
        <f>-I6*I19</f>
        <v>-982293043.9104174</v>
      </c>
      <c r="J11" s="18">
        <f>-J6*J19</f>
        <v>-1052787079.5323341</v>
      </c>
      <c r="K11" s="18">
        <f>-K6*K19</f>
        <v>-1123738423.3359146</v>
      </c>
    </row>
    <row r="12" spans="1:11" x14ac:dyDescent="0.25">
      <c r="A12" t="s">
        <v>55</v>
      </c>
      <c r="B12" s="18">
        <f>-(B6-Assumptions!B29)*Assumptions!B11</f>
        <v>-119255574.59639876</v>
      </c>
      <c r="C12" s="18">
        <f>-(C6-B6)*Assumptions!B11</f>
        <v>-61123069.80405515</v>
      </c>
      <c r="D12" s="18">
        <f>-(D6-C6)*Assumptions!B11</f>
        <v>-60346277.45129611</v>
      </c>
      <c r="E12" s="18">
        <f>-(E6-D6)*Assumptions!B11</f>
        <v>-59240822.67186857</v>
      </c>
      <c r="F12" s="18">
        <f>-(F6-E6)*Assumptions!B11</f>
        <v>-57800163.12271438</v>
      </c>
      <c r="G12" s="18">
        <f>-(G6-F6)*Assumptions!B11</f>
        <v>-56020732.62944192</v>
      </c>
      <c r="H12" s="18">
        <f>-(H6-G6)*Assumptions!B11</f>
        <v>-53902117.058089055</v>
      </c>
      <c r="I12" s="18">
        <f>-(I6-H6)*Assumptions!B11</f>
        <v>-51447191.92740847</v>
      </c>
      <c r="J12" s="18">
        <f>-(J6-I6)*Assumptions!B11</f>
        <v>-48662217.71204444</v>
      </c>
      <c r="K12" s="18">
        <f>-(K6-J6)*Assumptions!B11</f>
        <v>-45556889.431574516</v>
      </c>
    </row>
    <row r="13" spans="1:11" x14ac:dyDescent="0.25">
      <c r="A13" s="19" t="s">
        <v>56</v>
      </c>
      <c r="B13" s="20">
        <f>B9+B10+B11+B12</f>
        <v>1265839522.138689</v>
      </c>
      <c r="C13" s="20">
        <f>C9+C10+C11+C12</f>
        <v>1351314904.6591043</v>
      </c>
      <c r="D13" s="20">
        <f>D9+D10+D11+D12</f>
        <v>1375767421.2328522</v>
      </c>
      <c r="E13" s="20">
        <f>E9+E10+E11+E12</f>
        <v>1396629310.1291997</v>
      </c>
      <c r="F13" s="20">
        <f>F9+F10+F11+F12</f>
        <v>1413680419.375116</v>
      </c>
      <c r="G13" s="20">
        <f>G9+G10+G11+G12</f>
        <v>1426726489.9611614</v>
      </c>
      <c r="H13" s="20">
        <f>H9+H10+H11+H12</f>
        <v>1435602132.2413595</v>
      </c>
      <c r="I13" s="20">
        <f>I9+I10+I11+I12</f>
        <v>1440173504.4192884</v>
      </c>
      <c r="J13" s="20">
        <f>J9+J10+J11+J12</f>
        <v>1440340639.5811305</v>
      </c>
      <c r="K13" s="20">
        <f>K9+K10+K11+K12</f>
        <v>1436039372.478657</v>
      </c>
    </row>
    <row r="14" spans="1:11" x14ac:dyDescent="0.25">
      <c r="A14" t="s">
        <v>57</v>
      </c>
      <c r="B14" s="21">
        <f>1/(1+Assumptions!$B$26)^(1-0.5*Assumptions!$B$32)</f>
        <v>0.9659745015437234</v>
      </c>
      <c r="C14" s="21">
        <f>1/(1+Assumptions!$B$26)^(2-0.5*Assumptions!$B$32)</f>
        <v>0.9013573157717839</v>
      </c>
      <c r="D14" s="21">
        <f>1/(1+Assumptions!$B$26)^(3-0.5*Assumptions!$B$32)</f>
        <v>0.8410625843611269</v>
      </c>
      <c r="E14" s="21">
        <f>1/(1+Assumptions!$B$26)^(4-0.5*Assumptions!$B$32)</f>
        <v>0.7848011642380923</v>
      </c>
      <c r="F14" s="21">
        <f>1/(1+Assumptions!$B$26)^(5-0.5*Assumptions!$B$32)</f>
        <v>0.7323032540525078</v>
      </c>
      <c r="G14" s="21">
        <f>1/(1+Assumptions!$B$26)^(6-0.5*Assumptions!$B$32)</f>
        <v>0.6833171003467055</v>
      </c>
      <c r="H14" s="21">
        <f>1/(1+Assumptions!$B$26)^(7-0.5*Assumptions!$B$32)</f>
        <v>0.6376077902731129</v>
      </c>
      <c r="I14" s="21">
        <f>1/(1+Assumptions!$B$26)^(8-0.5*Assumptions!$B$32)</f>
        <v>0.594956125070904</v>
      </c>
      <c r="J14" s="21">
        <f>1/(1+Assumptions!$B$26)^(9-0.5*Assumptions!$B$32)</f>
        <v>0.555157568899471</v>
      </c>
      <c r="K14" s="21">
        <f>1/(1+Assumptions!$B$26)^(10-0.5*Assumptions!$B$32)</f>
        <v>0.5180212679878556</v>
      </c>
    </row>
    <row r="15" spans="1:11" x14ac:dyDescent="0.25">
      <c r="A15" s="19" t="s">
        <v>58</v>
      </c>
      <c r="B15" s="20">
        <f>B13*B14</f>
        <v>1222768701.4322653</v>
      </c>
      <c r="C15" s="20">
        <f>C13*C14</f>
        <v>1218017575.2259343</v>
      </c>
      <c r="D15" s="20">
        <f>D13*D14</f>
        <v>1157106502.7819457</v>
      </c>
      <c r="E15" s="20">
        <f>E13*E14</f>
        <v>1096076308.5984397</v>
      </c>
      <c r="F15" s="20">
        <f>F13*F14</f>
        <v>1035242771.2987115</v>
      </c>
      <c r="G15" s="20">
        <f>G13*G14</f>
        <v>974906608.1080937</v>
      </c>
      <c r="H15" s="20">
        <f>H13*H14</f>
        <v>915351103.2497823</v>
      </c>
      <c r="I15" s="20">
        <f>I13*I14</f>
        <v>856840047.6190842</v>
      </c>
      <c r="J15" s="20">
        <f>J13*J14</f>
        <v>799616007.8569696</v>
      </c>
      <c r="K15" s="20">
        <f>K13*K14</f>
        <v>743898936.6118784</v>
      </c>
    </row>
    <row r="17" spans="1:2" x14ac:dyDescent="0.25">
      <c r="A17" s="22" t="s">
        <v>59</v>
      </c>
      <c r="B17" s="23">
        <f>SUM(B15:K15)</f>
        <v>10019824562.783104</v>
      </c>
    </row>
    <row r="19" spans="1:11" x14ac:dyDescent="0.25">
      <c r="A19" t="s">
        <v>7</v>
      </c>
      <c r="B19" s="9">
        <f>Assumptions!$B$10+($B$20-Assumptions!$B$10)*0/9</f>
        <v>0.04394625974436639</v>
      </c>
      <c r="C19" s="9">
        <f>Assumptions!$B$10+($B$20-Assumptions!$B$10)*1/9</f>
        <v>0.04666267208025604</v>
      </c>
      <c r="D19" s="9">
        <f>Assumptions!$B$10+($B$20-Assumptions!$B$10)*2/9</f>
        <v>0.049379084416145684</v>
      </c>
      <c r="E19" s="9">
        <f>Assumptions!$B$10+($B$20-Assumptions!$B$10)*3/9</f>
        <v>0.05209549675203533</v>
      </c>
      <c r="F19" s="9">
        <f>Assumptions!$B$10+($B$20-Assumptions!$B$10)*4/9</f>
        <v>0.05481190908792498</v>
      </c>
      <c r="G19" s="9">
        <f>Assumptions!$B$10+($B$20-Assumptions!$B$10)*5/9</f>
        <v>0.05752832142381463</v>
      </c>
      <c r="H19" s="9">
        <f>Assumptions!$B$10+($B$20-Assumptions!$B$10)*6/9</f>
        <v>0.06024473375970427</v>
      </c>
      <c r="I19" s="9">
        <f>Assumptions!$B$10+($B$20-Assumptions!$B$10)*7/9</f>
        <v>0.06296114609559392</v>
      </c>
      <c r="J19" s="9">
        <f>Assumptions!$B$10+($B$20-Assumptions!$B$10)*8/9</f>
        <v>0.06567755843148357</v>
      </c>
      <c r="K19" s="9">
        <f>Assumptions!$B$10+($B$20-Assumptions!$B$10)*9/9</f>
        <v>0.06839397076737322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0.06839397076737322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1436039372.478657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1975814954.214933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0.272240362707788</v>
      </c>
    </row>
    <row r="7" spans="1:2" x14ac:dyDescent="0.25">
      <c r="A7" t="s">
        <v>66</v>
      </c>
      <c r="B7" s="18">
        <f>-MAX(B5,0)*B6</f>
        <v>-537896579.7789448</v>
      </c>
    </row>
    <row r="8" spans="1:2" x14ac:dyDescent="0.25">
      <c r="A8" t="s">
        <v>67</v>
      </c>
      <c r="B8" s="18">
        <f>IF(OR(Assumptions!$B$33=0,Assumptions!B12&lt;=0),B5,MAX(B5+B7,0))</f>
        <v>1437918374.435988</v>
      </c>
    </row>
    <row r="9" spans="1:2" x14ac:dyDescent="0.25">
      <c r="A9" t="s">
        <v>68</v>
      </c>
      <c r="B9" s="18">
        <f>B8*(1+Assumptions!B12)/(Assumptions!B26-Assumptions!B12)</f>
        <v>31567906746.659016</v>
      </c>
    </row>
    <row r="10" spans="1:2" x14ac:dyDescent="0.25">
      <c r="A10" t="s">
        <v>69</v>
      </c>
      <c r="B10" s="18">
        <f>B9/(1+Assumptions!B26)^(10-0.5*Assumptions!B32)</f>
        <v>16352847080.626686</v>
      </c>
    </row>
    <row r="11" spans="1:2" x14ac:dyDescent="0.25">
      <c r="A11" t="s">
        <v>70</v>
      </c>
      <c r="B11" s="18">
        <f>Forecast!B17+B10</f>
        <v>26372671643.40979</v>
      </c>
    </row>
    <row r="12" spans="1:2" x14ac:dyDescent="0.25">
      <c r="A12" t="s">
        <v>71</v>
      </c>
      <c r="B12" s="18">
        <f>-Assumptions!B30</f>
        <v>-6165000000</v>
      </c>
    </row>
    <row r="13" spans="1:2" x14ac:dyDescent="0.25">
      <c r="A13" t="s">
        <v>72</v>
      </c>
      <c r="B13" s="18">
        <f>B11+B12</f>
        <v>20207671643.40979</v>
      </c>
    </row>
    <row r="14" spans="1:2" x14ac:dyDescent="0.25">
      <c r="A14" s="19" t="s">
        <v>73</v>
      </c>
      <c r="B14" s="24">
        <f>B13/Assumptions!B31</f>
        <v>178.82895259654683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3086873431.170809</v>
      </c>
    </row>
    <row r="18" spans="1:2" x14ac:dyDescent="0.25">
      <c r="A18" t="s">
        <v>68</v>
      </c>
      <c r="B18" s="18">
        <f>B17*Assumptions!B13</f>
        <v>49307533970.37756</v>
      </c>
    </row>
    <row r="19" spans="1:2" x14ac:dyDescent="0.25">
      <c r="A19" t="s">
        <v>69</v>
      </c>
      <c r="B19" s="18">
        <f>B18/(1+Assumptions!B26)^(10-0.5*Assumptions!B32)</f>
        <v>25542351268.68925</v>
      </c>
    </row>
    <row r="20" spans="1:2" x14ac:dyDescent="0.25">
      <c r="A20" t="s">
        <v>70</v>
      </c>
      <c r="B20" s="18">
        <f>Forecast!B17+B19</f>
        <v>35562175831.47235</v>
      </c>
    </row>
    <row r="21" spans="1:2" x14ac:dyDescent="0.25">
      <c r="A21" t="s">
        <v>71</v>
      </c>
      <c r="B21" s="18">
        <f>-Assumptions!B30</f>
        <v>-6165000000</v>
      </c>
    </row>
    <row r="22" spans="1:2" x14ac:dyDescent="0.25">
      <c r="A22" t="s">
        <v>72</v>
      </c>
      <c r="B22" s="18">
        <f>B20+B21</f>
        <v>29397175831.47235</v>
      </c>
    </row>
    <row r="23" spans="1:2" x14ac:dyDescent="0.25">
      <c r="A23" s="19" t="s">
        <v>73</v>
      </c>
      <c r="B23" s="25">
        <f>B22/Assumptions!B31</f>
        <v>260.1519985086049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251.82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178.82895259654683</v>
      </c>
    </row>
    <row r="29" spans="1:2" x14ac:dyDescent="0.25">
      <c r="A29" s="19" t="s">
        <v>81</v>
      </c>
      <c r="B29" s="11">
        <f>B28/B26-1</f>
        <v>-0.2898540521144197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0.051689</v>
      </c>
      <c r="B5" s="31">
        <v>299.1450156969796</v>
      </c>
      <c r="C5" s="31">
        <v>318.0253459605438</v>
      </c>
      <c r="D5" s="31">
        <v>344.9303271615806</v>
      </c>
      <c r="E5" s="31">
        <v>385.4097663018925</v>
      </c>
      <c r="F5" s="31">
        <v>451.6643266380633</v>
      </c>
    </row>
    <row r="6" spans="1:6" x14ac:dyDescent="0.25">
      <c r="A6" s="30">
        <v>0.061689</v>
      </c>
      <c r="B6" s="31">
        <v>223.9547497248203</v>
      </c>
      <c r="C6" s="31">
        <v>230.4233665769839</v>
      </c>
      <c r="D6" s="31">
        <v>239.3078210018059</v>
      </c>
      <c r="E6" s="31">
        <v>251.75165061769874</v>
      </c>
      <c r="F6" s="31">
        <v>269.7553285733777</v>
      </c>
    </row>
    <row r="7" spans="1:6" x14ac:dyDescent="0.25">
      <c r="A7" s="30">
        <v>0.071689</v>
      </c>
      <c r="B7" s="31">
        <v>175.30967672741033</v>
      </c>
      <c r="C7" s="31">
        <v>176.6796753532278</v>
      </c>
      <c r="D7" s="32">
        <v>178.82779753178053</v>
      </c>
      <c r="E7" s="31">
        <v>182.0340176757683</v>
      </c>
      <c r="F7" s="31">
        <v>186.7309305542367</v>
      </c>
    </row>
    <row r="8" spans="1:6" x14ac:dyDescent="0.25">
      <c r="A8" s="30">
        <v>0.081689</v>
      </c>
      <c r="B8" s="31">
        <v>141.2673131377756</v>
      </c>
      <c r="C8" s="31">
        <v>140.33106162751088</v>
      </c>
      <c r="D8" s="31">
        <v>139.60719628102484</v>
      </c>
      <c r="E8" s="31">
        <v>139.15735095574715</v>
      </c>
      <c r="F8" s="31">
        <v>139.0695613842514</v>
      </c>
    </row>
    <row r="9" spans="1:6" x14ac:dyDescent="0.25">
      <c r="A9" s="30">
        <v>0.091689</v>
      </c>
      <c r="B9" s="31">
        <v>116.11430121728732</v>
      </c>
      <c r="C9" s="31">
        <v>114.10002782241163</v>
      </c>
      <c r="D9" s="31">
        <v>112.08749896209285</v>
      </c>
      <c r="E9" s="31">
        <v>110.07713882894802</v>
      </c>
      <c r="F9" s="31">
        <v>108.06952127165344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11035000000</v>
      </c>
      <c r="C5" s="18">
        <v>9872000000</v>
      </c>
      <c r="D5" s="18">
        <v>9252000000</v>
      </c>
      <c r="E5" s="18">
        <v>9883000000</v>
      </c>
      <c r="F5" s="6" t="s">
        <v>91</v>
      </c>
    </row>
    <row r="6" spans="1:6" x14ac:dyDescent="0.25">
      <c r="A6" t="s">
        <v>51</v>
      </c>
      <c r="B6" s="18">
        <v>1556000000</v>
      </c>
      <c r="C6" s="18">
        <v>1346000000</v>
      </c>
      <c r="D6" s="18">
        <v>1262000000</v>
      </c>
      <c r="E6" s="18">
        <v>1428000000</v>
      </c>
      <c r="F6" s="6" t="s">
        <v>92</v>
      </c>
    </row>
    <row r="7" spans="1:6" x14ac:dyDescent="0.25">
      <c r="A7" t="s">
        <v>93</v>
      </c>
      <c r="B7" s="18">
        <v>570000000</v>
      </c>
      <c r="C7" s="18">
        <v>493000000</v>
      </c>
      <c r="D7" s="18">
        <v>439000000</v>
      </c>
      <c r="E7" s="18">
        <v>437000000</v>
      </c>
      <c r="F7" s="6" t="s">
        <v>94</v>
      </c>
    </row>
    <row r="8" spans="1:6" x14ac:dyDescent="0.25">
      <c r="A8" t="s">
        <v>95</v>
      </c>
      <c r="B8" s="18">
        <v>527000000</v>
      </c>
      <c r="C8" s="18">
        <v>425000000</v>
      </c>
      <c r="D8" s="18">
        <v>408000000</v>
      </c>
      <c r="E8" s="18">
        <v>404000000</v>
      </c>
      <c r="F8" s="6" t="s">
        <v>96</v>
      </c>
    </row>
    <row r="9" spans="1:6" x14ac:dyDescent="0.25">
      <c r="A9" t="s">
        <v>97</v>
      </c>
      <c r="B9" s="18">
        <v>-50000000</v>
      </c>
      <c r="C9" s="18">
        <v>201000000</v>
      </c>
      <c r="D9" s="18">
        <v>145000000</v>
      </c>
      <c r="E9" s="18">
        <v>-119000000</v>
      </c>
      <c r="F9" s="6" t="s">
        <v>98</v>
      </c>
    </row>
    <row r="10" spans="1:6" x14ac:dyDescent="0.25">
      <c r="A10" t="s">
        <v>99</v>
      </c>
      <c r="B10" s="18">
        <v>6585000000</v>
      </c>
      <c r="C10" s="18">
        <v>7087000000</v>
      </c>
      <c r="D10" s="18">
        <v>5498000000</v>
      </c>
      <c r="E10" s="18">
        <v>4714000000</v>
      </c>
      <c r="F10" s="6" t="s">
        <v>100</v>
      </c>
    </row>
    <row r="11" spans="1:6" x14ac:dyDescent="0.25">
      <c r="A11" t="s">
        <v>101</v>
      </c>
      <c r="B11" s="18">
        <v>420000000</v>
      </c>
      <c r="C11" s="18">
        <v>549000000</v>
      </c>
      <c r="D11" s="18">
        <v>686000000</v>
      </c>
      <c r="E11" s="18">
        <v>315000000</v>
      </c>
      <c r="F11" s="6" t="s">
        <v>102</v>
      </c>
    </row>
    <row r="12" spans="1:6" x14ac:dyDescent="0.25">
      <c r="A12" t="s">
        <v>34</v>
      </c>
      <c r="B12" s="34">
        <v>113000000</v>
      </c>
      <c r="C12" s="34">
        <v>113000000</v>
      </c>
      <c r="D12" s="34">
        <v>113000000</v>
      </c>
      <c r="E12" s="34">
        <v>118000000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