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<sst xmlns="http://schemas.openxmlformats.org/spreadsheetml/2006/main" count="113" uniqueCount="101">
  <si>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D.R. Horton, Inc. (DHI)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</si>
  <si>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</si>
  <si>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</si>
  <si>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</si>
  <si>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</si>
  <si>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</si>
  <si>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</si>
  <si>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</si>
  <si>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</si>
  <si>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</si>
  <si>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</si>
  <si>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</si>
  <si>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</si>
  <si>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</si>
  <si>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</si>
  <si>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</si>
  <si>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</si>
  <si>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</si>
  <si>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</si>
  <si>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</si>
  <si>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</si>
  <si>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</si>
  <si>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</si>
  <si>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</si>
  <si>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</si>
  <si>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</si>
  <si>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</si>
  <si>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</si>
  <si>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</si>
  <si>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</si>
  <si>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</si>
  <si>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</si>
  <si>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</si>
  <si>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</si>
  <si>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</si>
  <si>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</si>
  <si>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</si>
  <si>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</si>
  <si>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</si>
  <si>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</si>
  <si>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</si>
  <si>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</si>
  <si>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</si>
  <si>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</si>
  <si>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</si>
  <si>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</si>
  <si>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</si>
  <si>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</si>
  <si>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</si>
  <si>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</si>
  <si>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</si>
  <si>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</si>
  <si>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</si>
  <si>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</si>
  <si>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</si>
  <si>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</si>
  <si>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</si>
  <si>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</si>
  <si>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</si>
  <si>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</si>
  <si>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</si>
  <si>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</si>
  <si>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</si>
  <si>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</si>
  <si>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</si>
  <si>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</si>
  <si>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</si>
  <si>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</si>
  <si>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</si>
  <si>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</si>
  <si>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</si>
  <si>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</si>
  <si>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</si>
  <si>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</si>
  <si>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</si>
  <si>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</si>
  <si>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</si>
  <si>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</si>
  <si>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</si>
  <si>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</si>
  <si>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</si>
  <si>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</si>
  <si>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</si>
  <si>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</si>
  <si>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</si>
  <si>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</si>
  <si>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</si>
  <si>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</si>
  <si>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</si>
  <si>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</si>
  <si>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</si>
  <si>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</si>
  <si>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</si>
  <si>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</si>
  <si>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</si>
  <si>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</si>
  <si>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</si>
  <si>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</si>
  <si>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0.43%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</si>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</sst>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0.007612158904120037</v>
      </c>
    </row>
    <row r="7" spans="1:2" x14ac:dyDescent="0.25">
      <c r="A7" t="s">
        <v>5</v>
      </c>
      <c r="B7" s="6">
        <v>0.17216319751099063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0.002584713234701265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0.3677539890931125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9.203418389128274</v>
      </c>
    </row>
    <row r="14" spans="1:3" x14ac:dyDescent="0.25">
      <c r="A14" t="s">
        <v>12</v>
      </c>
      <c r="B14" s="6">
        <v>0.16180103161874837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1.24857</v>
      </c>
      <c r="C19" s="8" t="s">
        <v>19</v>
      </c>
    </row>
    <row r="20" spans="1:2" x14ac:dyDescent="0.25">
      <c r="A20" t="s">
        <v>20</v>
      </c>
      <c r="B20" s="10">
        <f>B17+B19*B18</f>
        <v>0.11865134999999999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38604369920</v>
      </c>
    </row>
    <row r="23" spans="1:2" x14ac:dyDescent="0.25">
      <c r="A23" t="s">
        <v>24</v>
      </c>
      <c r="B23" s="11">
        <v>6031100000</v>
      </c>
    </row>
    <row r="24" spans="1:2" x14ac:dyDescent="0.25">
      <c r="A24" t="s">
        <v>25</v>
      </c>
      <c r="B24" s="10">
        <f>B22/(B22+B23)</f>
        <v>0.8648810013469216</v>
      </c>
    </row>
    <row r="25" spans="1:2" x14ac:dyDescent="0.25">
      <c r="A25" t="s">
        <v>26</v>
      </c>
      <c r="B25" s="10">
        <f>1-B24</f>
        <v>0.13511899865307841</v>
      </c>
    </row>
    <row r="26" spans="1:2" x14ac:dyDescent="0.25">
      <c r="A26" t="s">
        <v>27</v>
      </c>
      <c r="B26" s="12">
        <f>B24*B20+B25*B21*(1-B8)</f>
        <v>0.11008924414450058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34250400000</v>
      </c>
      <c r="C29" s="8" t="s">
        <v>30</v>
      </c>
    </row>
    <row r="30" spans="1:2" x14ac:dyDescent="0.25">
      <c r="A30" t="s">
        <v>31</v>
      </c>
      <c r="B30" s="11">
        <v>3045700000</v>
      </c>
    </row>
    <row r="31" spans="1:2" x14ac:dyDescent="0.25">
      <c r="A31" t="s">
        <v>32</v>
      </c>
      <c r="B31" s="13">
        <v>309900000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0.007612158904120037</v>
      </c>
      <c r="C5" s="10">
        <f>Assumptions!B6</f>
        <v>0.007612158904120037</v>
      </c>
      <c r="D5" s="10">
        <f>Assumptions!B6</f>
        <v>0.007612158904120037</v>
      </c>
      <c r="E5" s="10">
        <f>Assumptions!B6</f>
        <v>0.007612158904120037</v>
      </c>
      <c r="F5" s="10">
        <f>Assumptions!B6</f>
        <v>0.007612158904120037</v>
      </c>
    </row>
    <row r="6" spans="1:6" x14ac:dyDescent="0.25">
      <c r="A6" t="s">
        <v>43</v>
      </c>
      <c r="B6" s="18">
        <f>Assumptions!B29*(1+B5)</f>
        <v>34511119487.32967</v>
      </c>
      <c r="C6" s="18">
        <f>B6*(1+C5)</f>
        <v>34773823612.8263</v>
      </c>
      <c r="D6" s="18">
        <f>C6*(1+D5)</f>
        <v>35038527483.87098</v>
      </c>
      <c r="E6" s="18">
        <f>D6*(1+E5)</f>
        <v>35305246322.84458</v>
      </c>
      <c r="F6" s="18">
        <f>E6*(1+F5)</f>
        <v>35573995468.003174</v>
      </c>
    </row>
    <row r="7" spans="1:6" x14ac:dyDescent="0.25">
      <c r="A7" t="s">
        <v>5</v>
      </c>
      <c r="B7" s="10">
        <f>Assumptions!B7</f>
        <v>0.17216319751099063</v>
      </c>
      <c r="C7" s="10">
        <f>Assumptions!B7</f>
        <v>0.17216319751099063</v>
      </c>
      <c r="D7" s="10">
        <f>Assumptions!B7</f>
        <v>0.17216319751099063</v>
      </c>
      <c r="E7" s="10">
        <f>Assumptions!B7</f>
        <v>0.17216319751099063</v>
      </c>
      <c r="F7" s="10">
        <f>Assumptions!B7</f>
        <v>0.17216319751099063</v>
      </c>
    </row>
    <row r="8" spans="1:6" x14ac:dyDescent="0.25">
      <c r="A8" t="s">
        <v>44</v>
      </c>
      <c r="B8" s="18">
        <f>B6*B7</f>
        <v>5941544680.622537</v>
      </c>
      <c r="C8" s="18">
        <f>C6*C7</f>
        <v>5986772662.867364</v>
      </c>
      <c r="D8" s="18">
        <f>D6*D7</f>
        <v>6032344927.699953</v>
      </c>
      <c r="E8" s="18">
        <f>E6*E7</f>
        <v>6078264095.854067</v>
      </c>
      <c r="F8" s="18">
        <f>F6*F7</f>
        <v>6124532808.012916</v>
      </c>
    </row>
    <row r="9" spans="1:6" x14ac:dyDescent="0.25">
      <c r="A9" t="s">
        <v>45</v>
      </c>
      <c r="B9" s="18">
        <f>B8*(1-Assumptions!B8)</f>
        <v>4693820297.691804</v>
      </c>
      <c r="C9" s="18">
        <f>C8*(1-Assumptions!B8)</f>
        <v>4729550403.665217</v>
      </c>
      <c r="D9" s="18">
        <f>D8*(1-Assumptions!B8)</f>
        <v>4765552492.882963</v>
      </c>
      <c r="E9" s="18">
        <f>E8*(1-Assumptions!B8)</f>
        <v>4801828635.724713</v>
      </c>
      <c r="F9" s="18">
        <f>F8*(1-Assumptions!B8)</f>
        <v>4838380918.330204</v>
      </c>
    </row>
    <row r="10" spans="1:6" x14ac:dyDescent="0.25">
      <c r="A10" t="s">
        <v>46</v>
      </c>
      <c r="B10" s="18">
        <f>B6*Assumptions!B9</f>
        <v>89201347.28325775</v>
      </c>
      <c r="C10" s="18">
        <f>C6*Assumptions!B9</f>
        <v>89880362.1132395</v>
      </c>
      <c r="D10" s="18">
        <f>D6*Assumptions!B9</f>
        <v>90564545.71200533</v>
      </c>
      <c r="E10" s="18">
        <f>E6*Assumptions!B9</f>
        <v>91253937.42504457</v>
      </c>
      <c r="F10" s="18">
        <f>F6*Assumptions!B9</f>
        <v>91948576.89735062</v>
      </c>
    </row>
    <row r="11" spans="1:6" x14ac:dyDescent="0.25">
      <c r="A11" t="s">
        <v>47</v>
      </c>
      <c r="B11" s="18">
        <f>-B6*Assumptions!B10</f>
        <v>-345111194.87329674</v>
      </c>
      <c r="C11" s="18">
        <f>-C6*Assumptions!B10</f>
        <v>-347738236.128263</v>
      </c>
      <c r="D11" s="18">
        <f>-D6*Assumptions!B10</f>
        <v>-350385274.8387098</v>
      </c>
      <c r="E11" s="18">
        <f>-E6*Assumptions!B10</f>
        <v>-353052463.2284458</v>
      </c>
      <c r="F11" s="18">
        <f>-F6*Assumptions!B10</f>
        <v>-355739954.6800317</v>
      </c>
    </row>
    <row r="12" spans="1:6" x14ac:dyDescent="0.25">
      <c r="A12" t="s">
        <v>48</v>
      </c>
      <c r="B12" s="18">
        <f>-(B6-Assumptions!B29)*Assumptions!B11</f>
        <v>-95880631.49979873</v>
      </c>
      <c r="C12" s="18">
        <f>-(C6-B6)*Assumptions!B11</f>
        <v>-96610490.10260253</v>
      </c>
      <c r="D12" s="18">
        <f>-(D6-C6)*Assumptions!B11</f>
        <v>-97345904.50506908</v>
      </c>
      <c r="E12" s="18">
        <f>-(E6-D6)*Assumptions!B11</f>
        <v>-98086916.99882577</v>
      </c>
      <c r="F12" s="18">
        <f>-(F6-E6)*Assumptions!B11</f>
        <v>-98833570.19743624</v>
      </c>
    </row>
    <row r="13" spans="1:6" x14ac:dyDescent="0.25">
      <c r="A13" s="19" t="s">
        <v>49</v>
      </c>
      <c r="B13" s="20">
        <f>B9+B10+B11+B12</f>
        <v>4342029818.601966</v>
      </c>
      <c r="C13" s="20">
        <f>C9+C10+C11+C12</f>
        <v>4375082039.547591</v>
      </c>
      <c r="D13" s="20">
        <f>D9+D10+D11+D12</f>
        <v>4408385859.25119</v>
      </c>
      <c r="E13" s="20">
        <f>E9+E10+E11+E12</f>
        <v>4441943192.922486</v>
      </c>
      <c r="F13" s="20">
        <f>F9+F10+F11+F12</f>
        <v>4475755970.350086</v>
      </c>
    </row>
    <row r="14" spans="1:6" x14ac:dyDescent="0.25">
      <c r="A14" t="s">
        <v>50</v>
      </c>
      <c r="B14" s="21">
        <f>1/(1+Assumptions!$B$26)^(1-0.5*Assumptions!$B$32)</f>
        <v>0.949119841839958</v>
      </c>
      <c r="C14" s="21">
        <f>1/(1+Assumptions!$B$26)^(2-0.5*Assumptions!$B$32)</f>
        <v>0.8549941789332488</v>
      </c>
      <c r="D14" s="21">
        <f>1/(1+Assumptions!$B$26)^(3-0.5*Assumptions!$B$32)</f>
        <v>0.7702031016363527</v>
      </c>
      <c r="E14" s="21">
        <f>1/(1+Assumptions!$B$26)^(4-0.5*Assumptions!$B$32)</f>
        <v>0.6938208848513944</v>
      </c>
      <c r="F14" s="21">
        <f>1/(1+Assumptions!$B$26)^(5-0.5*Assumptions!$B$32)</f>
        <v>0.6250136090509489</v>
      </c>
    </row>
    <row r="15" spans="1:6" x14ac:dyDescent="0.25">
      <c r="A15" s="19" t="s">
        <v>51</v>
      </c>
      <c r="B15" s="20">
        <f>B13*B14</f>
        <v>4121106654.6958795</v>
      </c>
      <c r="C15" s="20">
        <f>C13*C14</f>
        <v>3740669676.1685963</v>
      </c>
      <c r="D15" s="20">
        <f>D13*D14</f>
        <v>3395352462.0051045</v>
      </c>
      <c r="E15" s="20">
        <f>E13*E14</f>
        <v>3081912956.5731072</v>
      </c>
      <c r="F15" s="20">
        <f>F13*F14</f>
        <v>2797408392.2598395</v>
      </c>
    </row>
    <row r="17" spans="1:2" x14ac:dyDescent="0.25">
      <c r="A17" s="22" t="s">
        <v>52</v>
      </c>
      <c r="B17" s="23">
        <f>SUM(B15:F15)</f>
        <v>17136450141.702526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4475755970.350086</v>
      </c>
    </row>
    <row r="5" spans="1:2" x14ac:dyDescent="0.25">
      <c r="A5" t="s">
        <v>56</v>
      </c>
      <c r="B5" s="18">
        <f>IF(Assumptions!$B$33=0,B4,B4-Forecast!F11-Forecast!F10-Forecast!F12)</f>
        <v>4838380918.330204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0.1545107577491068</v>
      </c>
    </row>
    <row r="7" spans="1:2" x14ac:dyDescent="0.25">
      <c r="A7" t="s">
        <v>58</v>
      </c>
      <c r="B7" s="18">
        <f>-MAX(Forecast!F9,0)*B6</f>
        <v>-747581901.9700191</v>
      </c>
    </row>
    <row r="8" spans="1:2" x14ac:dyDescent="0.25">
      <c r="A8" t="s">
        <v>59</v>
      </c>
      <c r="B8" s="18">
        <f>IF(OR(Assumptions!$B$33=0,Assumptions!B12&lt;=0),B5,MAX(B5+B7,0))</f>
        <v>4090799016.3601847</v>
      </c>
    </row>
    <row r="9" spans="1:2" x14ac:dyDescent="0.25">
      <c r="A9" t="s">
        <v>60</v>
      </c>
      <c r="B9" s="18">
        <f>B8*(1+Assumptions!B12)/(Assumptions!B26-Assumptions!B12)</f>
        <v>49278484418.64661</v>
      </c>
    </row>
    <row r="10" spans="1:2" x14ac:dyDescent="0.25">
      <c r="A10" t="s">
        <v>61</v>
      </c>
      <c r="B10" s="18">
        <f>B9/(1+Assumptions!B26)^(5-0.5*Assumptions!B32)</f>
        <v>30799723395.05927</v>
      </c>
    </row>
    <row r="11" spans="1:2" x14ac:dyDescent="0.25">
      <c r="A11" t="s">
        <v>62</v>
      </c>
      <c r="B11" s="18">
        <f>Forecast!B17+B10</f>
        <v>47936173536.761795</v>
      </c>
    </row>
    <row r="12" spans="1:2" x14ac:dyDescent="0.25">
      <c r="A12" t="s">
        <v>63</v>
      </c>
      <c r="B12" s="18">
        <f>-Assumptions!B30</f>
        <v>-3045700000</v>
      </c>
    </row>
    <row r="13" spans="1:2" x14ac:dyDescent="0.25">
      <c r="A13" t="s">
        <v>64</v>
      </c>
      <c r="B13" s="18">
        <f>B11+B12</f>
        <v>44890473536.761795</v>
      </c>
    </row>
    <row r="14" spans="1:2" x14ac:dyDescent="0.25">
      <c r="A14" s="19" t="s">
        <v>65</v>
      </c>
      <c r="B14" s="24">
        <f>B13/Assumptions!B31</f>
        <v>144.854706475514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6216481384.910266</v>
      </c>
    </row>
    <row r="18" spans="1:2" x14ac:dyDescent="0.25">
      <c r="A18" t="s">
        <v>60</v>
      </c>
      <c r="B18" s="18">
        <f>B17*Assumptions!B13</f>
        <v>57212879093.55674</v>
      </c>
    </row>
    <row r="19" spans="1:2" x14ac:dyDescent="0.25">
      <c r="A19" t="s">
        <v>61</v>
      </c>
      <c r="B19" s="18">
        <f>B18/(1+Assumptions!B26)^(5-0.5*Assumptions!B32)</f>
        <v>35758828046.45948</v>
      </c>
    </row>
    <row r="20" spans="1:2" x14ac:dyDescent="0.25">
      <c r="A20" t="s">
        <v>62</v>
      </c>
      <c r="B20" s="18">
        <f>Forecast!B17+B19</f>
        <v>52895278188.162</v>
      </c>
    </row>
    <row r="21" spans="1:2" x14ac:dyDescent="0.25">
      <c r="A21" t="s">
        <v>63</v>
      </c>
      <c r="B21" s="18">
        <f>-Assumptions!B30</f>
        <v>-3045700000</v>
      </c>
    </row>
    <row r="22" spans="1:2" x14ac:dyDescent="0.25">
      <c r="A22" t="s">
        <v>64</v>
      </c>
      <c r="B22" s="18">
        <f>B20+B21</f>
        <v>49849578188.162</v>
      </c>
    </row>
    <row r="23" spans="1:2" x14ac:dyDescent="0.25">
      <c r="A23" s="19" t="s">
        <v>65</v>
      </c>
      <c r="B23" s="25">
        <f>B22/Assumptions!B31</f>
        <v>160.85698027803164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138.02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144.854706475514</v>
      </c>
    </row>
    <row r="29" spans="1:2" x14ac:dyDescent="0.25">
      <c r="A29" s="19" t="s">
        <v>73</v>
      </c>
      <c r="B29" s="12">
        <f>B28/B26-1</f>
        <v>0.0495196817527459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0.090089</v>
      </c>
      <c r="B5" s="31">
        <v>177.7347974881403</v>
      </c>
      <c r="C5" s="31">
        <v>182.92294851352634</v>
      </c>
      <c r="D5" s="31">
        <v>188.85790690156207</v>
      </c>
      <c r="E5" s="31">
        <v>195.7260979620338</v>
      </c>
      <c r="F5" s="31">
        <v>203.78162850549424</v>
      </c>
    </row>
    <row r="6" spans="1:6" x14ac:dyDescent="0.25">
      <c r="A6" s="30">
        <v>0.100089</v>
      </c>
      <c r="B6" s="31">
        <v>156.64012278927356</v>
      </c>
      <c r="C6" s="31">
        <v>160.08311621511868</v>
      </c>
      <c r="D6" s="31">
        <v>163.94280345554003</v>
      </c>
      <c r="E6" s="31">
        <v>168.30836265858713</v>
      </c>
      <c r="F6" s="31">
        <v>173.29637388293935</v>
      </c>
    </row>
    <row r="7" spans="1:6" x14ac:dyDescent="0.25">
      <c r="A7" s="30">
        <v>0.110089</v>
      </c>
      <c r="B7" s="31">
        <v>139.9731146519993</v>
      </c>
      <c r="C7" s="31">
        <v>142.29537526460206</v>
      </c>
      <c r="D7" s="32">
        <v>144.85511806191255</v>
      </c>
      <c r="E7" s="31">
        <v>147.69682147131306</v>
      </c>
      <c r="F7" s="31">
        <v>150.8768107758856</v>
      </c>
    </row>
    <row r="8" spans="1:6" x14ac:dyDescent="0.25">
      <c r="A8" s="30">
        <v>0.120089</v>
      </c>
      <c r="B8" s="31">
        <v>126.47011751692175</v>
      </c>
      <c r="C8" s="31">
        <v>128.04621318571662</v>
      </c>
      <c r="D8" s="31">
        <v>129.75760044085385</v>
      </c>
      <c r="E8" s="31">
        <v>131.62680560402796</v>
      </c>
      <c r="F8" s="31">
        <v>133.68164976398774</v>
      </c>
    </row>
    <row r="9" spans="1:6" x14ac:dyDescent="0.25">
      <c r="A9" s="30">
        <v>0.130089</v>
      </c>
      <c r="B9" s="31">
        <v>115.30665163662341</v>
      </c>
      <c r="C9" s="31">
        <v>116.37199840958493</v>
      </c>
      <c r="D9" s="31">
        <v>117.51224176391126</v>
      </c>
      <c r="E9" s="31">
        <v>118.73860619700456</v>
      </c>
      <c r="F9" s="31">
        <v>120.06467704661674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34250400000</v>
      </c>
      <c r="C5" s="18">
        <v>36801400000</v>
      </c>
      <c r="D5" s="18">
        <v>35460400000</v>
      </c>
      <c r="E5" s="18">
        <v>33480000000</v>
      </c>
      <c r="F5" s="8" t="s">
        <v>84</v>
      </c>
    </row>
    <row r="6" spans="1:6" x14ac:dyDescent="0.25">
      <c r="A6" t="s">
        <v>44</v>
      </c>
      <c r="B6" s="18">
        <v>4424200000</v>
      </c>
      <c r="C6" s="18">
        <v>5935900000</v>
      </c>
      <c r="D6" s="18">
        <v>6101600000</v>
      </c>
      <c r="E6" s="18">
        <v>7570400000</v>
      </c>
      <c r="F6" s="8" t="s">
        <v>85</v>
      </c>
    </row>
    <row r="7" spans="1:6" x14ac:dyDescent="0.25">
      <c r="A7" t="s">
        <v>86</v>
      </c>
      <c r="B7" s="18">
        <v>101300000</v>
      </c>
      <c r="C7" s="18">
        <v>87100000</v>
      </c>
      <c r="D7" s="18">
        <v>91600000</v>
      </c>
      <c r="E7" s="18">
        <v>81400000</v>
      </c>
      <c r="F7" s="8" t="s">
        <v>87</v>
      </c>
    </row>
    <row r="8" spans="1:6" x14ac:dyDescent="0.25">
      <c r="A8" t="s">
        <v>88</v>
      </c>
      <c r="B8" s="18">
        <v>137400000</v>
      </c>
      <c r="C8" s="18">
        <v>165300000</v>
      </c>
      <c r="D8" s="18">
        <v>148600000</v>
      </c>
      <c r="E8" s="18">
        <v>148200000</v>
      </c>
      <c r="F8" s="8" t="s">
        <v>89</v>
      </c>
    </row>
    <row r="9" spans="1:6" x14ac:dyDescent="0.25">
      <c r="A9" t="s">
        <v>90</v>
      </c>
      <c r="B9" s="18">
        <v>713600000</v>
      </c>
      <c r="C9" s="18">
        <v>2919200000</v>
      </c>
      <c r="D9" s="18">
        <v>728300000</v>
      </c>
      <c r="E9" s="18">
        <v>5619800000</v>
      </c>
      <c r="F9" s="8" t="s">
        <v>91</v>
      </c>
    </row>
    <row r="10" spans="1:6" x14ac:dyDescent="0.25">
      <c r="A10" t="s">
        <v>92</v>
      </c>
      <c r="B10" s="18">
        <v>6031100000</v>
      </c>
      <c r="C10" s="18">
        <v>5971000000</v>
      </c>
      <c r="D10" s="18">
        <v>5142600000</v>
      </c>
      <c r="E10" s="18">
        <v>6114800000</v>
      </c>
      <c r="F10" s="8" t="s">
        <v>93</v>
      </c>
    </row>
    <row r="11" spans="1:6" x14ac:dyDescent="0.25">
      <c r="A11" t="s">
        <v>94</v>
      </c>
      <c r="B11" s="18">
        <v>2985400000</v>
      </c>
      <c r="C11" s="18">
        <v>4516400000</v>
      </c>
      <c r="D11" s="18">
        <v>3873600000</v>
      </c>
      <c r="E11" s="18">
        <v>2540500000</v>
      </c>
      <c r="F11" s="8" t="s">
        <v>95</v>
      </c>
    </row>
    <row r="12" spans="1:6" x14ac:dyDescent="0.25">
      <c r="A12" t="s">
        <v>32</v>
      </c>
      <c r="B12" s="34">
        <v>309900000</v>
      </c>
      <c r="C12" s="34">
        <v>331600000</v>
      </c>
      <c r="D12" s="34">
        <v>343300000</v>
      </c>
      <c r="E12" s="34">
        <v>354800000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2026-09-19T00:08:14Z</dcterms:modified>
</cp:coreProperties>
</file>