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<sst xmlns="http://schemas.openxmlformats.org/spreadsheetml/2006/main" count="121" uniqueCount="108">
  <si>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D.R. Horton, Inc. (DHI)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</si>
  <si>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</si>
  <si>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</si>
  <si>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</si>
  <si>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</si>
  <si>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</si>
  <si>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</si>
  <si>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</si>
  <si>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</si>
  <si>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</si>
  <si>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</si>
  <si>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</si>
  <si>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</si>
  <si>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</si>
  <si>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</si>
  <si>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</si>
  <si>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</si>
  <si>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</si>
  <si>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</si>
  <si>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</si>
  <si>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</si>
  <si>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</si>
  <si>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</si>
  <si>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</si>
  <si>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</si>
  <si>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</si>
  <si>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</si>
  <si>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</si>
  <si>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</si>
  <si>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</si>
  <si>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</si>
  <si>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</si>
  <si>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</si>
  <si>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</si>
  <si>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</si>
  <si>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</si>
  <si>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</si>
  <si>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</si>
  <si>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</si>
  <si>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</si>
  <si>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</si>
  <si>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</si>
  <si>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</si>
  <si>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</si>
  <si>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</si>
  <si>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</si>
  <si>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</si>
  <si>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</si>
  <si>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</si>
  <si>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</si>
  <si>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</si>
  <si>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</si>
  <si>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</si>
  <si>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</si>
  <si>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</si>
  <si>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</si>
  <si>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</si>
  <si>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</si>
  <si>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</si>
  <si>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</si>
  <si>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</si>
  <si>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</si>
  <si>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</si>
  <si>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</si>
  <si>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</si>
  <si>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</si>
  <si>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</si>
  <si>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</si>
  <si>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</si>
  <si>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</si>
  <si>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</si>
  <si>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</si>
  <si>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</si>
  <si>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</si>
  <si>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</si>
  <si>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</si>
  <si>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</si>
  <si>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</si>
  <si>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</si>
  <si>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</si>
  <si>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</si>
  <si>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</si>
  <si>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</si>
  <si>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</si>
  <si>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</si>
  <si>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</si>
  <si>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</si>
  <si>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</si>
  <si>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</si>
  <si>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</si>
  <si>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</si>
  <si>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</si>
  <si>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</si>
  <si>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</si>
  <si>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</si>
  <si>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</si>
  <si>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</si>
  <si>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</si>
  <si>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</si>
  <si>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</si>
  <si>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</si>
  <si>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</si>
  <si>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</si>
  <si>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</si>
  <si>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</si>
  <si>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0.43%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</si>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</sst>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-0.06548580717305497</v>
      </c>
    </row>
    <row r="7" spans="1:2" x14ac:dyDescent="0.25">
      <c r="A7" t="s">
        <v>4</v>
      </c>
      <c r="B7" s="5">
        <v>0.17216319751099063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0.002584713234701265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0.3677539890931125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9.429963257098663</v>
      </c>
    </row>
    <row r="14" spans="1:3" x14ac:dyDescent="0.25">
      <c r="A14" t="s">
        <v>12</v>
      </c>
      <c r="B14" s="5">
        <v>0.16180103161874837</v>
      </c>
      <c r="C14" s="6" t="s">
        <v>13</v>
      </c>
    </row>
    <row r="15" spans="1:3" x14ac:dyDescent="0.25">
      <c r="A15" t="s">
        <v>14</v>
      </c>
      <c r="B15" s="5">
        <v>0.002584713234701265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1.23517</v>
      </c>
      <c r="C19" s="6" t="s">
        <v>21</v>
      </c>
    </row>
    <row r="20" spans="1:2" x14ac:dyDescent="0.25">
      <c r="A20" t="s">
        <v>22</v>
      </c>
      <c r="B20" s="9">
        <f>B17+B19*B18</f>
        <v>0.101187691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39629598720</v>
      </c>
    </row>
    <row r="23" spans="1:2" x14ac:dyDescent="0.25">
      <c r="A23" t="s">
        <v>26</v>
      </c>
      <c r="B23" s="10">
        <v>6031100000</v>
      </c>
    </row>
    <row r="24" spans="1:2" x14ac:dyDescent="0.25">
      <c r="A24" t="s">
        <v>27</v>
      </c>
      <c r="B24" s="9">
        <f>B22/(B22+B23)</f>
        <v>0.8679148552459997</v>
      </c>
    </row>
    <row r="25" spans="1:2" x14ac:dyDescent="0.25">
      <c r="A25" t="s">
        <v>28</v>
      </c>
      <c r="B25" s="9">
        <f>1-B24</f>
        <v>0.13208514475400035</v>
      </c>
    </row>
    <row r="26" spans="1:2" x14ac:dyDescent="0.25">
      <c r="A26" t="s">
        <v>29</v>
      </c>
      <c r="B26" s="11">
        <f>B24*B20+B25*B21*(1-B8)</f>
        <v>0.09501600059162116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34250400000</v>
      </c>
      <c r="C29" s="6" t="s">
        <v>32</v>
      </c>
    </row>
    <row r="30" spans="1:2" x14ac:dyDescent="0.25">
      <c r="A30" t="s">
        <v>33</v>
      </c>
      <c r="B30" s="10">
        <v>3045700000</v>
      </c>
    </row>
    <row r="31" spans="1:2" x14ac:dyDescent="0.25">
      <c r="A31" t="s">
        <v>34</v>
      </c>
      <c r="B31" s="12">
        <v>309900000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-0.06548580717305497</v>
      </c>
      <c r="C5" s="5">
        <v>0.0616681249885811</v>
      </c>
      <c r="D5" s="5">
        <v>0.05708460936500846</v>
      </c>
      <c r="E5" s="5">
        <v>0.05250109374143582</v>
      </c>
      <c r="F5" s="5">
        <v>0.04791757811786319</v>
      </c>
      <c r="G5" s="5">
        <v>0.043334062494290546</v>
      </c>
      <c r="H5" s="5">
        <v>0.03875054687071791</v>
      </c>
      <c r="I5" s="5">
        <v>0.03416703124714528</v>
      </c>
      <c r="J5" s="5">
        <v>0.029583515623572636</v>
      </c>
      <c r="K5" s="5">
        <v>0.025</v>
      </c>
    </row>
    <row r="6" spans="1:11" x14ac:dyDescent="0.25">
      <c r="A6" t="s">
        <v>50</v>
      </c>
      <c r="B6" s="18">
        <f>Assumptions!B29*(1+B5)</f>
        <v>32007484910</v>
      </c>
      <c r="C6" s="18">
        <f>B6*(1+C5)</f>
        <v>33981326490.000004</v>
      </c>
      <c r="D6" s="18">
        <f>C6*(1+D5)</f>
        <v>35921137238.38647</v>
      </c>
      <c r="E6" s="18">
        <f>D6*(1+E5)</f>
        <v>37807036231.837975</v>
      </c>
      <c r="F6" s="18">
        <f>E6*(1+F5)</f>
        <v>39618657843.88195</v>
      </c>
      <c r="G6" s="18">
        <f>F6*(1+G5)</f>
        <v>41335495238.82865</v>
      </c>
      <c r="H6" s="18">
        <f>G6*(1+H5)</f>
        <v>42937268284.50522</v>
      </c>
      <c r="I6" s="18">
        <f>H6*(1+I5)</f>
        <v>44404307271.64897</v>
      </c>
      <c r="J6" s="18">
        <f>I6*(1+J5)</f>
        <v>45717942789.57372</v>
      </c>
      <c r="K6" s="18">
        <f>J6*(1+K5)</f>
        <v>46860891359.313065</v>
      </c>
    </row>
    <row r="7" spans="1:11" x14ac:dyDescent="0.25">
      <c r="A7" t="s">
        <v>4</v>
      </c>
      <c r="B7" s="9">
        <f>Assumptions!B7</f>
        <v>0.17216319751099063</v>
      </c>
      <c r="C7" s="9">
        <f>Assumptions!B7</f>
        <v>0.17216319751099063</v>
      </c>
      <c r="D7" s="9">
        <f>Assumptions!B7</f>
        <v>0.17216319751099063</v>
      </c>
      <c r="E7" s="9">
        <f>Assumptions!B7</f>
        <v>0.17216319751099063</v>
      </c>
      <c r="F7" s="9">
        <f>Assumptions!B7</f>
        <v>0.17216319751099063</v>
      </c>
      <c r="G7" s="9">
        <f>Assumptions!B7</f>
        <v>0.17216319751099063</v>
      </c>
      <c r="H7" s="9">
        <f>Assumptions!B7</f>
        <v>0.17216319751099063</v>
      </c>
      <c r="I7" s="9">
        <f>Assumptions!B7</f>
        <v>0.17216319751099063</v>
      </c>
      <c r="J7" s="9">
        <f>Assumptions!B7</f>
        <v>0.17216319751099063</v>
      </c>
      <c r="K7" s="9">
        <f>Assumptions!B7</f>
        <v>0.17216319751099063</v>
      </c>
    </row>
    <row r="8" spans="1:11" x14ac:dyDescent="0.25">
      <c r="A8" t="s">
        <v>51</v>
      </c>
      <c r="B8" s="18">
        <f>B6*B7</f>
        <v>5510510946.390382</v>
      </c>
      <c r="C8" s="18">
        <f>C6*C7</f>
        <v>5850333824.183329</v>
      </c>
      <c r="D8" s="18">
        <f>D6*D7</f>
        <v>6184297845.19173</v>
      </c>
      <c r="E8" s="18">
        <f>E6*E7</f>
        <v>6508980246.0871</v>
      </c>
      <c r="F8" s="18">
        <f>F6*F7</f>
        <v>6820874815.496606</v>
      </c>
      <c r="G8" s="18">
        <f>G6*G7</f>
        <v>7116451031.01707</v>
      </c>
      <c r="H8" s="18">
        <f>H6*H7</f>
        <v>7392217400.247665</v>
      </c>
      <c r="I8" s="18">
        <f>I6*I7</f>
        <v>7644787523.147619</v>
      </c>
      <c r="J8" s="18">
        <f>J6*J7</f>
        <v>7870947214.277551</v>
      </c>
      <c r="K8" s="18">
        <f>K6*K7</f>
        <v>8067720894.634489</v>
      </c>
    </row>
    <row r="9" spans="1:11" x14ac:dyDescent="0.25">
      <c r="A9" t="s">
        <v>52</v>
      </c>
      <c r="B9" s="18">
        <f>B8*(1-Assumptions!B8)</f>
        <v>4353303647.648402</v>
      </c>
      <c r="C9" s="18">
        <f>C8*(1-Assumptions!B8)</f>
        <v>4621763721.10483</v>
      </c>
      <c r="D9" s="18">
        <f>D8*(1-Assumptions!B8)</f>
        <v>4885595297.701467</v>
      </c>
      <c r="E9" s="18">
        <f>E8*(1-Assumptions!B8)</f>
        <v>5142094394.40881</v>
      </c>
      <c r="F9" s="18">
        <f>F8*(1-Assumptions!B8)</f>
        <v>5388491104.242319</v>
      </c>
      <c r="G9" s="18">
        <f>G8*(1-Assumptions!B8)</f>
        <v>5621996314.503486</v>
      </c>
      <c r="H9" s="18">
        <f>H8*(1-Assumptions!B8)</f>
        <v>5839851746.195656</v>
      </c>
      <c r="I9" s="18">
        <f>I8*(1-Assumptions!B8)</f>
        <v>6039382143.286619</v>
      </c>
      <c r="J9" s="18">
        <f>J8*(1-Assumptions!B8)</f>
        <v>6218048299.279265</v>
      </c>
      <c r="K9" s="18">
        <f>K8*(1-Assumptions!B8)</f>
        <v>6373499506.761247</v>
      </c>
    </row>
    <row r="10" spans="1:11" x14ac:dyDescent="0.25">
      <c r="A10" t="s">
        <v>53</v>
      </c>
      <c r="B10" s="18">
        <f>B6*Assumptions!B9</f>
        <v>82730169.85637803</v>
      </c>
      <c r="C10" s="18">
        <f>C6*Assumptions!B9</f>
        <v>87831984.3114077</v>
      </c>
      <c r="D10" s="18">
        <f>D6*Assumptions!B9</f>
        <v>92845838.82557796</v>
      </c>
      <c r="E10" s="18">
        <f>E6*Assumptions!B9</f>
        <v>97720346.91326186</v>
      </c>
      <c r="F10" s="18">
        <f>F6*Assumptions!B9</f>
        <v>102402869.27018277</v>
      </c>
      <c r="G10" s="18">
        <f>G6*Assumptions!B9</f>
        <v>106840401.60673155</v>
      </c>
      <c r="H10" s="18">
        <f>H6*Assumptions!B9</f>
        <v>110980525.59687953</v>
      </c>
      <c r="I10" s="18">
        <f>I6*Assumptions!B9</f>
        <v>114772400.68277273</v>
      </c>
      <c r="J10" s="18">
        <f>J6*Assumptions!B9</f>
        <v>118167771.79152648</v>
      </c>
      <c r="K10" s="18">
        <f>K6*Assumptions!B9</f>
        <v>121121966.08631463</v>
      </c>
    </row>
    <row r="11" spans="1:11" x14ac:dyDescent="0.25">
      <c r="A11" t="s">
        <v>54</v>
      </c>
      <c r="B11" s="18">
        <f>-B6*B19</f>
        <v>-320074849.1</v>
      </c>
      <c r="C11" s="18">
        <f>-C6*C19</f>
        <v>-391161146.4662941</v>
      </c>
      <c r="D11" s="18">
        <f>-D6*D19</f>
        <v>-467769483.03831804</v>
      </c>
      <c r="E11" s="18">
        <f>-E6*E19</f>
        <v>-549456657.6158537</v>
      </c>
      <c r="F11" s="18">
        <f>-F6*F19</f>
        <v>-635651527.0931152</v>
      </c>
      <c r="G11" s="18">
        <f>-G6*G19</f>
        <v>-725657374.5188777</v>
      </c>
      <c r="H11" s="18">
        <f>-H6*H19</f>
        <v>-818657856.977694</v>
      </c>
      <c r="I11" s="18">
        <f>-I6*I19</f>
        <v>-913726614.3646523</v>
      </c>
      <c r="J11" s="18">
        <f>-J6*J19</f>
        <v>-1009840493.0850469</v>
      </c>
      <c r="K11" s="18">
        <f>-K6*K19</f>
        <v>-1105896204.3895533</v>
      </c>
    </row>
    <row r="12" spans="1:11" x14ac:dyDescent="0.25">
      <c r="A12" t="s">
        <v>55</v>
      </c>
      <c r="B12" s="18">
        <f>-(B6-Assumptions!B29)*Assumptions!B11</f>
        <v>824840971.5446374</v>
      </c>
      <c r="C12" s="18">
        <f>-(C6-B6)*Assumptions!B11</f>
        <v>-725888114.8828534</v>
      </c>
      <c r="D12" s="18">
        <f>-(D6-C6)*Assumptions!B11</f>
        <v>-713373140.8048178</v>
      </c>
      <c r="E12" s="18">
        <f>-(E6-D6)*Assumptions!B11</f>
        <v>-693546877.8684776</v>
      </c>
      <c r="F12" s="18">
        <f>-(F6-E6)*Assumptions!B11</f>
        <v>-666231074.5564672</v>
      </c>
      <c r="G12" s="18">
        <f>-(G6-F6)*Assumptions!B11</f>
        <v>-631373800.6158768</v>
      </c>
      <c r="H12" s="18">
        <f>-(H6-G6)*Assumptions!B11</f>
        <v>-589058427.1693819</v>
      </c>
      <c r="I12" s="18">
        <f>-(I6-H6)*Assumptions!B11</f>
        <v>-539509439.6772346</v>
      </c>
      <c r="J12" s="18">
        <f>-(J6-I6)*Assumptions!B11</f>
        <v>-483094701.9312242</v>
      </c>
      <c r="K12" s="18">
        <f>-(K6-J6)*Assumptions!B11</f>
        <v>-420323895.84991044</v>
      </c>
    </row>
    <row r="13" spans="1:11" x14ac:dyDescent="0.25">
      <c r="A13" s="19" t="s">
        <v>56</v>
      </c>
      <c r="B13" s="20">
        <f>B9+B10+B11+B12</f>
        <v>4940799939.949417</v>
      </c>
      <c r="C13" s="20">
        <f>C9+C10+C11+C12</f>
        <v>3592546444.06709</v>
      </c>
      <c r="D13" s="20">
        <f>D9+D10+D11+D12</f>
        <v>3797298512.683909</v>
      </c>
      <c r="E13" s="20">
        <f>E9+E10+E11+E12</f>
        <v>3996811205.83774</v>
      </c>
      <c r="F13" s="20">
        <f>F9+F10+F11+F12</f>
        <v>4189011371.86292</v>
      </c>
      <c r="G13" s="20">
        <f>G9+G10+G11+G12</f>
        <v>4371805540.975462</v>
      </c>
      <c r="H13" s="20">
        <f>H9+H10+H11+H12</f>
        <v>4543115987.64546</v>
      </c>
      <c r="I13" s="20">
        <f>I9+I10+I11+I12</f>
        <v>4700918489.927505</v>
      </c>
      <c r="J13" s="20">
        <f>J9+J10+J11+J12</f>
        <v>4843280876.054522</v>
      </c>
      <c r="K13" s="20">
        <f>K9+K10+K11+K12</f>
        <v>4968401372.608097</v>
      </c>
    </row>
    <row r="14" spans="1:11" x14ac:dyDescent="0.25">
      <c r="A14" t="s">
        <v>57</v>
      </c>
      <c r="B14" s="21">
        <f>1/(1+Assumptions!$B$26)^(1-0.5*Assumptions!$B$32)</f>
        <v>0.9556299831307725</v>
      </c>
      <c r="C14" s="21">
        <f>1/(1+Assumptions!$B$26)^(2-0.5*Assumptions!$B$32)</f>
        <v>0.8727086934021598</v>
      </c>
      <c r="D14" s="21">
        <f>1/(1+Assumptions!$B$26)^(3-0.5*Assumptions!$B$32)</f>
        <v>0.7969825947115368</v>
      </c>
      <c r="E14" s="21">
        <f>1/(1+Assumptions!$B$26)^(4-0.5*Assumptions!$B$32)</f>
        <v>0.7278273507244997</v>
      </c>
      <c r="F14" s="21">
        <f>1/(1+Assumptions!$B$26)^(5-0.5*Assumptions!$B$32)</f>
        <v>0.6646727996040835</v>
      </c>
      <c r="G14" s="21">
        <f>1/(1+Assumptions!$B$26)^(6-0.5*Assumptions!$B$32)</f>
        <v>0.6069982532172776</v>
      </c>
      <c r="H14" s="21">
        <f>1/(1+Assumptions!$B$26)^(7-0.5*Assumptions!$B$32)</f>
        <v>0.554328204235669</v>
      </c>
      <c r="I14" s="21">
        <f>1/(1+Assumptions!$B$26)^(8-0.5*Assumptions!$B$32)</f>
        <v>0.5062284057366957</v>
      </c>
      <c r="J14" s="21">
        <f>1/(1+Assumptions!$B$26)^(9-0.5*Assumptions!$B$32)</f>
        <v>0.46230229098313436</v>
      </c>
      <c r="K14" s="21">
        <f>1/(1+Assumptions!$B$26)^(10-0.5*Assumptions!$B$32)</f>
        <v>0.4221877038631026</v>
      </c>
    </row>
    <row r="15" spans="1:11" x14ac:dyDescent="0.25">
      <c r="A15" s="19" t="s">
        <v>58</v>
      </c>
      <c r="B15" s="20">
        <f>B13*B14</f>
        <v>4721576563.266383</v>
      </c>
      <c r="C15" s="20">
        <f>C13*C14</f>
        <v>3135246513.1883655</v>
      </c>
      <c r="D15" s="20">
        <f>D13*D14</f>
        <v>3026380821.533081</v>
      </c>
      <c r="E15" s="20">
        <f>E13*E14</f>
        <v>2908988511.290875</v>
      </c>
      <c r="F15" s="20">
        <f>F13*F14</f>
        <v>2784321916.1094694</v>
      </c>
      <c r="G15" s="20">
        <f>G13*G14</f>
        <v>2653678326.777721</v>
      </c>
      <c r="H15" s="20">
        <f>H13*H14</f>
        <v>2518377327.0658655</v>
      </c>
      <c r="I15" s="20">
        <f>I13*I14</f>
        <v>2379738472.6541557</v>
      </c>
      <c r="J15" s="20">
        <f>J13*J14</f>
        <v>2239059844.8748074</v>
      </c>
      <c r="K15" s="20">
        <f>K13*K14</f>
        <v>2097597967.3716998</v>
      </c>
    </row>
    <row r="17" spans="1:2" x14ac:dyDescent="0.25">
      <c r="A17" s="22" t="s">
        <v>59</v>
      </c>
      <c r="B17" s="23">
        <f>SUM(B15:K15)</f>
        <v>28464966264.13242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0.011511061717423087</v>
      </c>
      <c r="D19" s="9">
        <f>Assumptions!$B$10+($B$20-Assumptions!$B$10)*2/9</f>
        <v>0.013022123434846175</v>
      </c>
      <c r="E19" s="9">
        <f>Assumptions!$B$10+($B$20-Assumptions!$B$10)*3/9</f>
        <v>0.01453318515226926</v>
      </c>
      <c r="F19" s="9">
        <f>Assumptions!$B$10+($B$20-Assumptions!$B$10)*4/9</f>
        <v>0.016044246869692348</v>
      </c>
      <c r="G19" s="9">
        <f>Assumptions!$B$10+($B$20-Assumptions!$B$10)*5/9</f>
        <v>0.017555308587115435</v>
      </c>
      <c r="H19" s="9">
        <f>Assumptions!$B$10+($B$20-Assumptions!$B$10)*6/9</f>
        <v>0.019066370304538522</v>
      </c>
      <c r="I19" s="9">
        <f>Assumptions!$B$10+($B$20-Assumptions!$B$10)*7/9</f>
        <v>0.02057743202196161</v>
      </c>
      <c r="J19" s="9">
        <f>Assumptions!$B$10+($B$20-Assumptions!$B$10)*8/9</f>
        <v>0.022088493739384697</v>
      </c>
      <c r="K19" s="9">
        <f>Assumptions!$B$10+($B$20-Assumptions!$B$10)*9/9</f>
        <v>0.023599555456807784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0.023599555456807784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4968401372.608097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6373499506.761247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0.1545107577491068</v>
      </c>
    </row>
    <row r="7" spans="1:2" x14ac:dyDescent="0.25">
      <c r="A7" t="s">
        <v>66</v>
      </c>
      <c r="B7" s="18">
        <f>-MAX(B5,0)*B6</f>
        <v>-984774238.3032386</v>
      </c>
    </row>
    <row r="8" spans="1:2" x14ac:dyDescent="0.25">
      <c r="A8" t="s">
        <v>67</v>
      </c>
      <c r="B8" s="18">
        <f>IF(OR(Assumptions!$B$33=0,Assumptions!B12&lt;=0),B5,MAX(B5+B7,0))</f>
        <v>5388725268.458008</v>
      </c>
    </row>
    <row r="9" spans="1:2" x14ac:dyDescent="0.25">
      <c r="A9" t="s">
        <v>68</v>
      </c>
      <c r="B9" s="18">
        <f>B8*(1+Assumptions!B12)/(Assumptions!B26-Assumptions!B12)</f>
        <v>78888302009.50452</v>
      </c>
    </row>
    <row r="10" spans="1:2" x14ac:dyDescent="0.25">
      <c r="A10" t="s">
        <v>69</v>
      </c>
      <c r="B10" s="18">
        <f>B9/(1+Assumptions!B26)^(10-0.5*Assumptions!B32)</f>
        <v>33305671087.051697</v>
      </c>
    </row>
    <row r="11" spans="1:2" x14ac:dyDescent="0.25">
      <c r="A11" t="s">
        <v>70</v>
      </c>
      <c r="B11" s="18">
        <f>Forecast!B17+B10</f>
        <v>61770637351.18411</v>
      </c>
    </row>
    <row r="12" spans="1:2" x14ac:dyDescent="0.25">
      <c r="A12" t="s">
        <v>71</v>
      </c>
      <c r="B12" s="18">
        <f>-Assumptions!B30</f>
        <v>-3045700000</v>
      </c>
    </row>
    <row r="13" spans="1:2" x14ac:dyDescent="0.25">
      <c r="A13" t="s">
        <v>72</v>
      </c>
      <c r="B13" s="18">
        <f>B11+B12</f>
        <v>58724937351.18411</v>
      </c>
    </row>
    <row r="14" spans="1:2" x14ac:dyDescent="0.25">
      <c r="A14" s="19" t="s">
        <v>73</v>
      </c>
      <c r="B14" s="24">
        <f>B13/Assumptions!B31</f>
        <v>189.4964096520946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8188842860.720803</v>
      </c>
    </row>
    <row r="18" spans="1:2" x14ac:dyDescent="0.25">
      <c r="A18" t="s">
        <v>68</v>
      </c>
      <c r="B18" s="18">
        <f>B17*Assumptions!B13</f>
        <v>77220487294.75188</v>
      </c>
    </row>
    <row r="19" spans="1:2" x14ac:dyDescent="0.25">
      <c r="A19" t="s">
        <v>69</v>
      </c>
      <c r="B19" s="18">
        <f>B18/(1+Assumptions!B26)^(10-0.5*Assumptions!B32)</f>
        <v>32601540222.161182</v>
      </c>
    </row>
    <row r="20" spans="1:2" x14ac:dyDescent="0.25">
      <c r="A20" t="s">
        <v>70</v>
      </c>
      <c r="B20" s="18">
        <f>Forecast!B17+B19</f>
        <v>61066506486.2936</v>
      </c>
    </row>
    <row r="21" spans="1:2" x14ac:dyDescent="0.25">
      <c r="A21" t="s">
        <v>71</v>
      </c>
      <c r="B21" s="18">
        <f>-Assumptions!B30</f>
        <v>-3045700000</v>
      </c>
    </row>
    <row r="22" spans="1:2" x14ac:dyDescent="0.25">
      <c r="A22" t="s">
        <v>72</v>
      </c>
      <c r="B22" s="18">
        <f>B20+B21</f>
        <v>58020806486.2936</v>
      </c>
    </row>
    <row r="23" spans="1:2" x14ac:dyDescent="0.25">
      <c r="A23" s="19" t="s">
        <v>73</v>
      </c>
      <c r="B23" s="25">
        <f>B22/Assumptions!B31</f>
        <v>187.22428682250276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146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189.4964096520946</v>
      </c>
    </row>
    <row r="29" spans="1:2" x14ac:dyDescent="0.25">
      <c r="A29" s="19" t="s">
        <v>81</v>
      </c>
      <c r="B29" s="11">
        <f>B28/B26-1</f>
        <v>0.29792061405544246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0.075016</v>
      </c>
      <c r="B5" s="31">
        <v>252.2169171154422</v>
      </c>
      <c r="C5" s="31">
        <v>259.7858519653658</v>
      </c>
      <c r="D5" s="31">
        <v>269.1607047909093</v>
      </c>
      <c r="E5" s="31">
        <v>280.9432342919639</v>
      </c>
      <c r="F5" s="31">
        <v>296.0359582147478</v>
      </c>
    </row>
    <row r="6" spans="1:6" x14ac:dyDescent="0.25">
      <c r="A6" s="30">
        <v>0.085016</v>
      </c>
      <c r="B6" s="31">
        <v>213.79493201624123</v>
      </c>
      <c r="C6" s="31">
        <v>217.76866571368615</v>
      </c>
      <c r="D6" s="31">
        <v>222.635149424114</v>
      </c>
      <c r="E6" s="31">
        <v>228.63778961463882</v>
      </c>
      <c r="F6" s="31">
        <v>236.1173241931592</v>
      </c>
    </row>
    <row r="7" spans="1:6" x14ac:dyDescent="0.25">
      <c r="A7" s="30">
        <v>0.095016</v>
      </c>
      <c r="B7" s="31">
        <v>185.11196935374636</v>
      </c>
      <c r="C7" s="31">
        <v>187.0707412170818</v>
      </c>
      <c r="D7" s="32">
        <v>189.49641132996192</v>
      </c>
      <c r="E7" s="31">
        <v>192.49669892677798</v>
      </c>
      <c r="F7" s="31">
        <v>196.21522008089417</v>
      </c>
    </row>
    <row r="8" spans="1:6" x14ac:dyDescent="0.25">
      <c r="A8" s="30">
        <v>0.105016</v>
      </c>
      <c r="B8" s="31">
        <v>162.91163188659584</v>
      </c>
      <c r="C8" s="31">
        <v>163.68833590219327</v>
      </c>
      <c r="D8" s="31">
        <v>164.7172421584057</v>
      </c>
      <c r="E8" s="31">
        <v>166.04878034502235</v>
      </c>
      <c r="F8" s="31">
        <v>167.7477853420144</v>
      </c>
    </row>
    <row r="9" spans="1:6" x14ac:dyDescent="0.25">
      <c r="A9" s="30">
        <v>0.115016</v>
      </c>
      <c r="B9" s="31">
        <v>145.24080572041981</v>
      </c>
      <c r="C9" s="31">
        <v>145.30405369078733</v>
      </c>
      <c r="D9" s="31">
        <v>145.505078667971</v>
      </c>
      <c r="E9" s="31">
        <v>145.8681896655947</v>
      </c>
      <c r="F9" s="31">
        <v>146.42377173548047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34250400000</v>
      </c>
      <c r="C5" s="18">
        <v>36801400000</v>
      </c>
      <c r="D5" s="18">
        <v>35460400000</v>
      </c>
      <c r="E5" s="18">
        <v>33480000000</v>
      </c>
      <c r="F5" s="6" t="s">
        <v>91</v>
      </c>
    </row>
    <row r="6" spans="1:6" x14ac:dyDescent="0.25">
      <c r="A6" t="s">
        <v>51</v>
      </c>
      <c r="B6" s="18">
        <v>4424200000</v>
      </c>
      <c r="C6" s="18">
        <v>5935900000</v>
      </c>
      <c r="D6" s="18">
        <v>6101600000</v>
      </c>
      <c r="E6" s="18">
        <v>7570400000</v>
      </c>
      <c r="F6" s="6" t="s">
        <v>92</v>
      </c>
    </row>
    <row r="7" spans="1:6" x14ac:dyDescent="0.25">
      <c r="A7" t="s">
        <v>93</v>
      </c>
      <c r="B7" s="18">
        <v>101300000</v>
      </c>
      <c r="C7" s="18">
        <v>87100000</v>
      </c>
      <c r="D7" s="18">
        <v>91600000</v>
      </c>
      <c r="E7" s="18">
        <v>81400000</v>
      </c>
      <c r="F7" s="6" t="s">
        <v>94</v>
      </c>
    </row>
    <row r="8" spans="1:6" x14ac:dyDescent="0.25">
      <c r="A8" t="s">
        <v>95</v>
      </c>
      <c r="B8" s="18">
        <v>137400000</v>
      </c>
      <c r="C8" s="18">
        <v>165300000</v>
      </c>
      <c r="D8" s="18">
        <v>148600000</v>
      </c>
      <c r="E8" s="18">
        <v>148200000</v>
      </c>
      <c r="F8" s="6" t="s">
        <v>96</v>
      </c>
    </row>
    <row r="9" spans="1:6" x14ac:dyDescent="0.25">
      <c r="A9" t="s">
        <v>97</v>
      </c>
      <c r="B9" s="18">
        <v>713600000</v>
      </c>
      <c r="C9" s="18">
        <v>2919200000</v>
      </c>
      <c r="D9" s="18">
        <v>728300000</v>
      </c>
      <c r="E9" s="18">
        <v>5619800000</v>
      </c>
      <c r="F9" s="6" t="s">
        <v>98</v>
      </c>
    </row>
    <row r="10" spans="1:6" x14ac:dyDescent="0.25">
      <c r="A10" t="s">
        <v>99</v>
      </c>
      <c r="B10" s="18">
        <v>6031100000</v>
      </c>
      <c r="C10" s="18">
        <v>5971000000</v>
      </c>
      <c r="D10" s="18">
        <v>5142600000</v>
      </c>
      <c r="E10" s="18">
        <v>6114800000</v>
      </c>
      <c r="F10" s="6" t="s">
        <v>100</v>
      </c>
    </row>
    <row r="11" spans="1:6" x14ac:dyDescent="0.25">
      <c r="A11" t="s">
        <v>101</v>
      </c>
      <c r="B11" s="18">
        <v>2985400000</v>
      </c>
      <c r="C11" s="18">
        <v>4516400000</v>
      </c>
      <c r="D11" s="18">
        <v>3873600000</v>
      </c>
      <c r="E11" s="18">
        <v>2540500000</v>
      </c>
      <c r="F11" s="6" t="s">
        <v>102</v>
      </c>
    </row>
    <row r="12" spans="1:6" x14ac:dyDescent="0.25">
      <c r="A12" t="s">
        <v>34</v>
      </c>
      <c r="B12" s="34">
        <v>309900000</v>
      </c>
      <c r="C12" s="34">
        <v>331600000</v>
      </c>
      <c r="D12" s="34">
        <v>343300000</v>
      </c>
      <c r="E12" s="34">
        <v>354800000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