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<sst xmlns="http://schemas.openxmlformats.org/spreadsheetml/2006/main" count="112" uniqueCount="100">
  <si>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DHL AG (DHL.DE)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</si>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</sst>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-0.0426728420395982</v>
      </c>
    </row>
    <row r="7" spans="1:2" x14ac:dyDescent="0.25">
      <c r="A7" t="s">
        <v>5</v>
      </c>
      <c r="B7" s="6">
        <v>0.07008950174785983</v>
      </c>
    </row>
    <row r="8" spans="1:2" x14ac:dyDescent="0.25">
      <c r="A8" t="s">
        <v>6</v>
      </c>
      <c r="B8" s="6">
        <v>0.2900761579793479</v>
      </c>
    </row>
    <row r="9" spans="1:2" x14ac:dyDescent="0.25">
      <c r="A9" t="s">
        <v>7</v>
      </c>
      <c r="B9" s="6">
        <v>0.053209016864387504</v>
      </c>
    </row>
    <row r="10" spans="1:2" x14ac:dyDescent="0.25">
      <c r="A10" t="s">
        <v>8</v>
      </c>
      <c r="B10" s="6">
        <v>0.03784664789556418</v>
      </c>
    </row>
    <row r="11" spans="1:2" x14ac:dyDescent="0.25">
      <c r="A11" t="s">
        <v>9</v>
      </c>
      <c r="B11" s="6">
        <v>0.042277961823631485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8.372358102427995</v>
      </c>
    </row>
    <row r="14" spans="1:3" x14ac:dyDescent="0.25">
      <c r="A14" t="s">
        <v>12</v>
      </c>
      <c r="B14" s="6">
        <v>0.12862215729599188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1.08978</v>
      </c>
      <c r="C19" s="8" t="s">
        <v>19</v>
      </c>
    </row>
    <row r="20" spans="1:2" x14ac:dyDescent="0.25">
      <c r="A20" t="s">
        <v>20</v>
      </c>
      <c r="B20" s="10">
        <f>B17+B19*B18</f>
        <v>0.09138679999999999</v>
      </c>
    </row>
    <row r="21" spans="1:3" x14ac:dyDescent="0.25">
      <c r="A21" t="s">
        <v>21</v>
      </c>
      <c r="B21" s="6">
        <v>0.046231911294869386</v>
      </c>
      <c r="C21" s="8" t="s">
        <v>22</v>
      </c>
    </row>
    <row r="22" spans="1:2" x14ac:dyDescent="0.25">
      <c r="A22" t="s">
        <v>23</v>
      </c>
      <c r="B22" s="11">
        <v>62159998976</v>
      </c>
    </row>
    <row r="23" spans="1:2" x14ac:dyDescent="0.25">
      <c r="A23" t="s">
        <v>24</v>
      </c>
      <c r="B23" s="11">
        <v>25447000000</v>
      </c>
    </row>
    <row r="24" spans="1:2" x14ac:dyDescent="0.25">
      <c r="A24" t="s">
        <v>25</v>
      </c>
      <c r="B24" s="10">
        <f>B22/(B22+B23)</f>
        <v>0.7095323399107505</v>
      </c>
    </row>
    <row r="25" spans="1:2" x14ac:dyDescent="0.25">
      <c r="A25" t="s">
        <v>26</v>
      </c>
      <c r="B25" s="10">
        <f>1-B24</f>
        <v>0.2904676600892495</v>
      </c>
    </row>
    <row r="26" spans="1:2" x14ac:dyDescent="0.25">
      <c r="A26" t="s">
        <v>27</v>
      </c>
      <c r="B26" s="12">
        <f>B24*B20+B25*B21*(1-B8)</f>
        <v>0.07437536864260846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82855000000</v>
      </c>
      <c r="C29" s="8" t="s">
        <v>30</v>
      </c>
    </row>
    <row r="30" spans="1:2" x14ac:dyDescent="0.25">
      <c r="A30" t="s">
        <v>31</v>
      </c>
      <c r="B30" s="11">
        <v>23012000000</v>
      </c>
    </row>
    <row r="31" spans="1:2" x14ac:dyDescent="0.25">
      <c r="A31" t="s">
        <v>32</v>
      </c>
      <c r="B31" s="13">
        <v>1150215795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-0.0426728420395982</v>
      </c>
      <c r="C5" s="10">
        <f>Assumptions!B6</f>
        <v>-0.0426728420395982</v>
      </c>
      <c r="D5" s="10">
        <f>Assumptions!B6</f>
        <v>-0.0426728420395982</v>
      </c>
      <c r="E5" s="10">
        <f>Assumptions!B6</f>
        <v>-0.0426728420395982</v>
      </c>
      <c r="F5" s="10">
        <f>Assumptions!B6</f>
        <v>-0.0426728420395982</v>
      </c>
    </row>
    <row r="6" spans="1:6" x14ac:dyDescent="0.25">
      <c r="A6" t="s">
        <v>43</v>
      </c>
      <c r="B6" s="18">
        <f>Assumptions!B29*(1+B5)</f>
        <v>79319341672.8091</v>
      </c>
      <c r="C6" s="18">
        <f>B6*(1+C5)</f>
        <v>75934559934.9204</v>
      </c>
      <c r="D6" s="18">
        <f>C6*(1+D5)</f>
        <v>72694216453.47113</v>
      </c>
      <c r="E6" s="18">
        <f>D6*(1+E5)</f>
        <v>69592147637.5598</v>
      </c>
      <c r="F6" s="18">
        <f>E6*(1+F5)</f>
        <v>66622452914.225815</v>
      </c>
    </row>
    <row r="7" spans="1:6" x14ac:dyDescent="0.25">
      <c r="A7" t="s">
        <v>5</v>
      </c>
      <c r="B7" s="10">
        <f>Assumptions!B7</f>
        <v>0.07008950174785983</v>
      </c>
      <c r="C7" s="10">
        <f>Assumptions!B7</f>
        <v>0.07008950174785983</v>
      </c>
      <c r="D7" s="10">
        <f>Assumptions!B7</f>
        <v>0.07008950174785983</v>
      </c>
      <c r="E7" s="10">
        <f>Assumptions!B7</f>
        <v>0.07008950174785983</v>
      </c>
      <c r="F7" s="10">
        <f>Assumptions!B7</f>
        <v>0.07008950174785983</v>
      </c>
    </row>
    <row r="8" spans="1:6" x14ac:dyDescent="0.25">
      <c r="A8" t="s">
        <v>44</v>
      </c>
      <c r="B8" s="18">
        <f>B6*B7</f>
        <v>5559453136.815444</v>
      </c>
      <c r="C8" s="18">
        <f>C6*C7</f>
        <v>5322215471.2815695</v>
      </c>
      <c r="D8" s="18">
        <f>D6*D7</f>
        <v>5095101411.174866</v>
      </c>
      <c r="E8" s="18">
        <f>E6*E7</f>
        <v>4877678953.480066</v>
      </c>
      <c r="F8" s="18">
        <f>F6*F7</f>
        <v>4669534529.978339</v>
      </c>
    </row>
    <row r="9" spans="1:6" x14ac:dyDescent="0.25">
      <c r="A9" t="s">
        <v>45</v>
      </c>
      <c r="B9" s="18">
        <f>B8*(1-Assumptions!B8)</f>
        <v>3946788330.4217863</v>
      </c>
      <c r="C9" s="18">
        <f>C8*(1-Assumptions!B8)</f>
        <v>3778367655.4339676</v>
      </c>
      <c r="D9" s="18">
        <f>D8*(1-Assumptions!B8)</f>
        <v>3617133969.3061075</v>
      </c>
      <c r="E9" s="18">
        <f>E8*(1-Assumptions!B8)</f>
        <v>3462780582.7978425</v>
      </c>
      <c r="F9" s="18">
        <f>F8*(1-Assumptions!B8)</f>
        <v>3315013893.9703226</v>
      </c>
    </row>
    <row r="10" spans="1:6" x14ac:dyDescent="0.25">
      <c r="A10" t="s">
        <v>46</v>
      </c>
      <c r="B10" s="18">
        <f>B6*Assumptions!B9</f>
        <v>4220504188.740614</v>
      </c>
      <c r="C10" s="18">
        <f>C6*Assumptions!B9</f>
        <v>4040403280.167023</v>
      </c>
      <c r="D10" s="18">
        <f>D6*Assumptions!B9</f>
        <v>3867987789.216181</v>
      </c>
      <c r="E10" s="18">
        <f>E6*Assumptions!B9</f>
        <v>3702929757.275864</v>
      </c>
      <c r="F10" s="18">
        <f>F6*Assumptions!B9</f>
        <v>3544915220.659904</v>
      </c>
    </row>
    <row r="11" spans="1:6" x14ac:dyDescent="0.25">
      <c r="A11" t="s">
        <v>47</v>
      </c>
      <c r="B11" s="18">
        <f>-B6*Assumptions!B10</f>
        <v>-3001971195.598757</v>
      </c>
      <c r="C11" s="18">
        <f>-C6*Assumptions!B10</f>
        <v>-2873868552.9615474</v>
      </c>
      <c r="D11" s="18">
        <f>-D6*Assumptions!B10</f>
        <v>-2751232414.15845</v>
      </c>
      <c r="E11" s="18">
        <f>-E6*Assumptions!B10</f>
        <v>-2633829507.9348445</v>
      </c>
      <c r="F11" s="18">
        <f>-F6*Assumptions!B10</f>
        <v>-2521436517.383508</v>
      </c>
    </row>
    <row r="12" spans="1:6" x14ac:dyDescent="0.25">
      <c r="A12" t="s">
        <v>48</v>
      </c>
      <c r="B12" s="18">
        <f>-(B6-Assumptions!B29)*Assumptions!B11</f>
        <v>149480427.77838174</v>
      </c>
      <c r="C12" s="18">
        <f>-(C6-B6)*Assumptions!B11</f>
        <v>143101673.0957836</v>
      </c>
      <c r="D12" s="18">
        <f>-(D6-C6)*Assumptions!B11</f>
        <v>136995118.00416514</v>
      </c>
      <c r="E12" s="18">
        <f>-(E6-D6)*Assumptions!B11</f>
        <v>131149146.97337699</v>
      </c>
      <c r="F12" s="18">
        <f>-(F6-E6)*Assumptions!B11</f>
        <v>125552640.14095406</v>
      </c>
    </row>
    <row r="13" spans="1:6" x14ac:dyDescent="0.25">
      <c r="A13" s="19" t="s">
        <v>49</v>
      </c>
      <c r="B13" s="20">
        <f>B9+B10+B11+B12</f>
        <v>5314801751.342025</v>
      </c>
      <c r="C13" s="20">
        <f>C9+C10+C11+C12</f>
        <v>5088004055.735226</v>
      </c>
      <c r="D13" s="20">
        <f>D9+D10+D11+D12</f>
        <v>4870884462.368003</v>
      </c>
      <c r="E13" s="20">
        <f>E9+E10+E11+E12</f>
        <v>4663029979.11224</v>
      </c>
      <c r="F13" s="20">
        <f>F9+F10+F11+F12</f>
        <v>4464045237.387671</v>
      </c>
    </row>
    <row r="14" spans="1:6" x14ac:dyDescent="0.25">
      <c r="A14" t="s">
        <v>50</v>
      </c>
      <c r="B14" s="21">
        <f>1/(1+Assumptions!$B$26)^(1-0.5*Assumptions!$B$32)</f>
        <v>0.9647659748732857</v>
      </c>
      <c r="C14" s="21">
        <f>1/(1+Assumptions!$B$26)^(2-0.5*Assumptions!$B$32)</f>
        <v>0.8979784933939748</v>
      </c>
      <c r="D14" s="21">
        <f>1/(1+Assumptions!$B$26)^(3-0.5*Assumptions!$B$32)</f>
        <v>0.8358144830968177</v>
      </c>
      <c r="E14" s="21">
        <f>1/(1+Assumptions!$B$26)^(4-0.5*Assumptions!$B$32)</f>
        <v>0.7779538767282106</v>
      </c>
      <c r="F14" s="21">
        <f>1/(1+Assumptions!$B$26)^(5-0.5*Assumptions!$B$32)</f>
        <v>0.7240987642066813</v>
      </c>
    </row>
    <row r="15" spans="1:6" x14ac:dyDescent="0.25">
      <c r="A15" s="19" t="s">
        <v>51</v>
      </c>
      <c r="B15" s="20">
        <f>B13*B14</f>
        <v>5127539892.891735</v>
      </c>
      <c r="C15" s="20">
        <f>C13*C14</f>
        <v>4568918216.351552</v>
      </c>
      <c r="D15" s="20">
        <f>D13*D14</f>
        <v>4071155779.138433</v>
      </c>
      <c r="E15" s="20">
        <f>E13*E14</f>
        <v>3627622249.550234</v>
      </c>
      <c r="F15" s="20">
        <f>F13*F14</f>
        <v>3232409639.755134</v>
      </c>
    </row>
    <row r="17" spans="1:2" x14ac:dyDescent="0.25">
      <c r="A17" s="22" t="s">
        <v>52</v>
      </c>
      <c r="B17" s="23">
        <f>SUM(B15:F15)</f>
        <v>20627645777.687088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4464045237.387671</v>
      </c>
    </row>
    <row r="5" spans="1:2" x14ac:dyDescent="0.25">
      <c r="A5" t="s">
        <v>56</v>
      </c>
      <c r="B5" s="18">
        <f>IF(Assumptions!$B$33=0,B4,B4-Forecast!F11-Forecast!F10-Forecast!F12)</f>
        <v>3461721792.705958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0.19436775533525474</v>
      </c>
    </row>
    <row r="7" spans="1:2" x14ac:dyDescent="0.25">
      <c r="A7" t="s">
        <v>58</v>
      </c>
      <c r="B7" s="18">
        <f>-MAX(Forecast!F9,0)*B6</f>
        <v>-672847094.4433911</v>
      </c>
    </row>
    <row r="8" spans="1:2" x14ac:dyDescent="0.25">
      <c r="A8" t="s">
        <v>59</v>
      </c>
      <c r="B8" s="18">
        <f>IF(OR(Assumptions!$B$33=0,Assumptions!B12&lt;=0),B5,MAX(B5+B7,0))</f>
        <v>2788874698.2625666</v>
      </c>
    </row>
    <row r="9" spans="1:2" x14ac:dyDescent="0.25">
      <c r="A9" t="s">
        <v>60</v>
      </c>
      <c r="B9" s="18">
        <f>B8*(1+Assumptions!B12)/(Assumptions!B26-Assumptions!B12)</f>
        <v>57895194391.56765</v>
      </c>
    </row>
    <row r="10" spans="1:2" x14ac:dyDescent="0.25">
      <c r="A10" t="s">
        <v>61</v>
      </c>
      <c r="B10" s="18">
        <f>B9/(1+Assumptions!B26)^(5-0.5*Assumptions!B32)</f>
        <v>41921838712.43972</v>
      </c>
    </row>
    <row r="11" spans="1:2" x14ac:dyDescent="0.25">
      <c r="A11" t="s">
        <v>62</v>
      </c>
      <c r="B11" s="18">
        <f>Forecast!B17+B10</f>
        <v>62549484490.12681</v>
      </c>
    </row>
    <row r="12" spans="1:2" x14ac:dyDescent="0.25">
      <c r="A12" t="s">
        <v>63</v>
      </c>
      <c r="B12" s="18">
        <f>-Assumptions!B30</f>
        <v>-23012000000</v>
      </c>
    </row>
    <row r="13" spans="1:2" x14ac:dyDescent="0.25">
      <c r="A13" t="s">
        <v>64</v>
      </c>
      <c r="B13" s="18">
        <f>B11+B12</f>
        <v>39537484490.12681</v>
      </c>
    </row>
    <row r="14" spans="1:2" x14ac:dyDescent="0.25">
      <c r="A14" s="19" t="s">
        <v>65</v>
      </c>
      <c r="B14" s="24">
        <f>B13/Assumptions!B31</f>
        <v>34.373971094812525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8214449750.638243</v>
      </c>
    </row>
    <row r="18" spans="1:2" x14ac:dyDescent="0.25">
      <c r="A18" t="s">
        <v>60</v>
      </c>
      <c r="B18" s="18">
        <f>B17*Assumptions!B13</f>
        <v>68774314926.74371</v>
      </c>
    </row>
    <row r="19" spans="1:2" x14ac:dyDescent="0.25">
      <c r="A19" t="s">
        <v>61</v>
      </c>
      <c r="B19" s="18">
        <f>B18/(1+Assumptions!B26)^(5-0.5*Assumptions!B32)</f>
        <v>49799396447.616234</v>
      </c>
    </row>
    <row r="20" spans="1:2" x14ac:dyDescent="0.25">
      <c r="A20" t="s">
        <v>62</v>
      </c>
      <c r="B20" s="18">
        <f>Forecast!B17+B19</f>
        <v>70427042225.30331</v>
      </c>
    </row>
    <row r="21" spans="1:2" x14ac:dyDescent="0.25">
      <c r="A21" t="s">
        <v>63</v>
      </c>
      <c r="B21" s="18">
        <f>-Assumptions!B30</f>
        <v>-23012000000</v>
      </c>
    </row>
    <row r="22" spans="1:2" x14ac:dyDescent="0.25">
      <c r="A22" t="s">
        <v>64</v>
      </c>
      <c r="B22" s="18">
        <f>B20+B21</f>
        <v>47415042225.303314</v>
      </c>
    </row>
    <row r="23" spans="1:2" x14ac:dyDescent="0.25">
      <c r="A23" s="19" t="s">
        <v>65</v>
      </c>
      <c r="B23" s="25">
        <f>B22/Assumptions!B31</f>
        <v>41.222736143441075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34.373971094812525</v>
      </c>
    </row>
    <row r="29" spans="1:2" x14ac:dyDescent="0.25">
      <c r="A29" s="19" t="s">
        <v>73</v>
      </c>
      <c r="B29" s="12">
        <f>B28/B26-1</f>
        <v>-0.38617908759263353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0.054375</v>
      </c>
      <c r="B5" s="31">
        <v>52.719506355728036</v>
      </c>
      <c r="C5" s="31">
        <v>58.14382781825455</v>
      </c>
      <c r="D5" s="31">
        <v>65.38334258822012</v>
      </c>
      <c r="E5" s="31">
        <v>75.55509270097188</v>
      </c>
      <c r="F5" s="31">
        <v>90.9291958412475</v>
      </c>
    </row>
    <row r="6" spans="1:6" x14ac:dyDescent="0.25">
      <c r="A6" s="30">
        <v>0.064375</v>
      </c>
      <c r="B6" s="31">
        <v>39.58905563353174</v>
      </c>
      <c r="C6" s="31">
        <v>42.4350945173545</v>
      </c>
      <c r="D6" s="31">
        <v>45.98149704934337</v>
      </c>
      <c r="E6" s="31">
        <v>50.533876457789</v>
      </c>
      <c r="F6" s="31">
        <v>56.60592306258423</v>
      </c>
    </row>
    <row r="7" spans="1:6" x14ac:dyDescent="0.25">
      <c r="A7" s="30">
        <v>0.074375</v>
      </c>
      <c r="B7" s="31">
        <v>30.836527877494973</v>
      </c>
      <c r="C7" s="31">
        <v>32.45055384016455</v>
      </c>
      <c r="D7" s="32">
        <v>34.37431346279944</v>
      </c>
      <c r="E7" s="31">
        <v>36.712505447359746</v>
      </c>
      <c r="F7" s="31">
        <v>39.62300878886467</v>
      </c>
    </row>
    <row r="8" spans="1:6" x14ac:dyDescent="0.25">
      <c r="A8" s="30">
        <v>0.084375</v>
      </c>
      <c r="B8" s="31">
        <v>24.57085548393074</v>
      </c>
      <c r="C8" s="31">
        <v>25.52509151401774</v>
      </c>
      <c r="D8" s="31">
        <v>26.626355637549842</v>
      </c>
      <c r="E8" s="31">
        <v>27.915207328580863</v>
      </c>
      <c r="F8" s="31">
        <v>29.448635215211738</v>
      </c>
    </row>
    <row r="9" spans="1:6" x14ac:dyDescent="0.25">
      <c r="A9" s="30">
        <v>0.094375</v>
      </c>
      <c r="B9" s="31">
        <v>19.853831439191833</v>
      </c>
      <c r="C9" s="31">
        <v>20.426793227873386</v>
      </c>
      <c r="D9" s="31">
        <v>21.071105397006658</v>
      </c>
      <c r="E9" s="31">
        <v>21.803393277959046</v>
      </c>
      <c r="F9" s="31">
        <v>22.645882313716424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82855000000</v>
      </c>
      <c r="C5" s="18">
        <v>84188000000</v>
      </c>
      <c r="D5" s="18">
        <v>81758000000</v>
      </c>
      <c r="E5" s="18">
        <v>94436000000</v>
      </c>
      <c r="F5" s="8" t="s">
        <v>84</v>
      </c>
    </row>
    <row r="6" spans="1:6" x14ac:dyDescent="0.25">
      <c r="A6" t="s">
        <v>44</v>
      </c>
      <c r="B6" s="18">
        <v>5313000000</v>
      </c>
      <c r="C6" s="18">
        <v>5328000000</v>
      </c>
      <c r="D6" s="18">
        <v>5615000000</v>
      </c>
      <c r="E6" s="18">
        <v>7958000000</v>
      </c>
      <c r="F6" s="8" t="s">
        <v>85</v>
      </c>
    </row>
    <row r="7" spans="1:6" x14ac:dyDescent="0.25">
      <c r="A7" t="s">
        <v>86</v>
      </c>
      <c r="B7" s="18">
        <v>4860000000</v>
      </c>
      <c r="C7" s="18">
        <v>4717000000</v>
      </c>
      <c r="D7" s="18">
        <v>4449000000</v>
      </c>
      <c r="E7" s="18">
        <v>4130000000</v>
      </c>
      <c r="F7" s="8" t="s">
        <v>87</v>
      </c>
    </row>
    <row r="8" spans="1:6" x14ac:dyDescent="0.25">
      <c r="A8" t="s">
        <v>88</v>
      </c>
      <c r="B8" s="18">
        <v>2795000000</v>
      </c>
      <c r="C8" s="18">
        <v>2936000000</v>
      </c>
      <c r="D8" s="18">
        <v>3381000000</v>
      </c>
      <c r="E8" s="18">
        <v>3912000000</v>
      </c>
      <c r="F8" s="8" t="s">
        <v>89</v>
      </c>
    </row>
    <row r="9" spans="1:6" x14ac:dyDescent="0.25">
      <c r="A9" t="s">
        <v>90</v>
      </c>
      <c r="B9" s="18">
        <v>368000000</v>
      </c>
      <c r="C9" s="18">
        <v>206000000</v>
      </c>
      <c r="D9" s="18">
        <v>-536000000</v>
      </c>
      <c r="E9" s="18">
        <v>-215000000</v>
      </c>
      <c r="F9" s="8" t="s">
        <v>91</v>
      </c>
    </row>
    <row r="10" spans="1:6" x14ac:dyDescent="0.25">
      <c r="A10" t="s">
        <v>92</v>
      </c>
      <c r="B10" s="18">
        <v>25447000000</v>
      </c>
      <c r="C10" s="18">
        <v>22442000000</v>
      </c>
      <c r="D10" s="18">
        <v>20829000000</v>
      </c>
      <c r="E10" s="18">
        <v>20224000000</v>
      </c>
      <c r="F10" s="8" t="s">
        <v>93</v>
      </c>
    </row>
    <row r="11" spans="1:6" x14ac:dyDescent="0.25">
      <c r="A11" t="s">
        <v>94</v>
      </c>
      <c r="B11" s="18">
        <v>2435000000</v>
      </c>
      <c r="C11" s="18">
        <v>2195000000</v>
      </c>
      <c r="D11" s="18">
        <v>2080000000</v>
      </c>
      <c r="E11" s="18">
        <v>1857000000</v>
      </c>
      <c r="F11" s="8" t="s">
        <v>95</v>
      </c>
    </row>
    <row r="12" spans="1:6" x14ac:dyDescent="0.25">
      <c r="A12" t="s">
        <v>32</v>
      </c>
      <c r="B12" s="34">
        <v>1150215795</v>
      </c>
      <c r="C12" s="34">
        <v>1187851515</v>
      </c>
      <c r="D12" s="34">
        <v>1211649431</v>
      </c>
      <c r="E12" s="34">
        <v>1238499950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