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<sst xmlns="http://schemas.openxmlformats.org/spreadsheetml/2006/main" count="120" uniqueCount="107">
  <si>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Danaher Corporation (DHR)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</si>
  <si>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</si>
  <si>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</si>
  <si>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</si>
  <si>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</si>
  <si>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</si>
  <si>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</si>
  <si>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</si>
  <si>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</si>
  <si>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</si>
  <si>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</si>
  <si>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</si>
  <si>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</si>
  <si>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</si>
  <si>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</si>
  <si>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</si>
  <si>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</si>
  <si>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</si>
  <si>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</si>
  <si>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</si>
  <si>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</si>
  <si>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</si>
  <si>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</si>
  <si>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</si>
  <si>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17.7x interest cover. Book interest / average debt was lower, at 1.4%.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</si>
  <si>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</si>
  <si>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</si>
  <si>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</si>
  <si>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</si>
  <si>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</si>
  <si>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</si>
  <si>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</si>
  <si>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</si>
  <si>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</si>
  <si>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</si>
  <si>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</si>
  <si>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</si>
  <si>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</si>
  <si>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</si>
  <si>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</si>
  <si>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</si>
  <si>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</si>
  <si>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</si>
  <si>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</si>
  <si>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</si>
  <si>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</si>
  <si>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</si>
  <si>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</si>
  <si>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</si>
  <si>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</si>
  <si>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</si>
  <si>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</si>
  <si>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</si>
  <si>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</si>
  <si>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</si>
  <si>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</si>
  <si>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</si>
  <si>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</si>
  <si>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</si>
  <si>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</si>
  <si>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</si>
  <si>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</si>
  <si>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</si>
  <si>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</si>
  <si>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</si>
  <si>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</si>
  <si>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</si>
  <si>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</si>
  <si>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</si>
  <si>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</si>
  <si>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</si>
  <si>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</si>
  <si>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</si>
  <si>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</si>
  <si>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</si>
  <si>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</si>
  <si>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</si>
  <si>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</si>
  <si>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</si>
  <si>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</si>
  <si>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</si>
  <si>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</si>
  <si>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</si>
  <si>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</si>
  <si>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</si>
  <si>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</si>
  <si>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</si>
  <si>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</si>
  <si>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</si>
  <si>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</si>
  <si>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</si>
  <si>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</si>
  <si>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</si>
  <si>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</si>
  <si>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</si>
  <si>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</si>
  <si>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</si>
  <si>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</si>
  <si>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</si>
  <si>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</si>
  <si>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</si>
  <si>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</si>
  <si>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</si>
  <si>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</si>
  <si>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</si>
  <si>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25.0x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</si>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</sst>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0.06892189962552919</v>
      </c>
    </row>
    <row r="7" spans="1:2" x14ac:dyDescent="0.25">
      <c r="A7" t="s">
        <v>4</v>
      </c>
      <c r="B7" s="5">
        <v>0.2237959089848673</v>
      </c>
    </row>
    <row r="8" spans="1:2" x14ac:dyDescent="0.25">
      <c r="A8" t="s">
        <v>5</v>
      </c>
      <c r="B8" s="5">
        <v>0.15516140172856221</v>
      </c>
    </row>
    <row r="9" spans="1:2" x14ac:dyDescent="0.25">
      <c r="A9" t="s">
        <v>6</v>
      </c>
      <c r="B9" s="5">
        <v>0.09220019130750827</v>
      </c>
    </row>
    <row r="10" spans="1:3" x14ac:dyDescent="0.25">
      <c r="A10" t="s">
        <v>7</v>
      </c>
      <c r="B10" s="5">
        <v>0.05130232856666017</v>
      </c>
      <c r="C10" s="6" t="s">
        <v>8</v>
      </c>
    </row>
    <row r="11" spans="1:2" x14ac:dyDescent="0.25">
      <c r="A11" t="s">
        <v>9</v>
      </c>
      <c r="B11" s="5">
        <v>0.18680265390939865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0.08109854471184719</v>
      </c>
      <c r="C14" s="6" t="s">
        <v>13</v>
      </c>
    </row>
    <row r="15" spans="1:3" x14ac:dyDescent="0.25">
      <c r="A15" t="s">
        <v>14</v>
      </c>
      <c r="B15" s="5">
        <v>0.028794804771319793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0.86399</v>
      </c>
      <c r="C19" s="6" t="s">
        <v>21</v>
      </c>
    </row>
    <row r="20" spans="1:2" x14ac:dyDescent="0.25">
      <c r="A20" t="s">
        <v>22</v>
      </c>
      <c r="B20" s="9">
        <f>B17+B19*B18</f>
        <v>0.08548677700000001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163254452224</v>
      </c>
    </row>
    <row r="23" spans="1:2" x14ac:dyDescent="0.25">
      <c r="A23" t="s">
        <v>26</v>
      </c>
      <c r="B23" s="10">
        <v>19696000000</v>
      </c>
    </row>
    <row r="24" spans="1:2" x14ac:dyDescent="0.25">
      <c r="A24" t="s">
        <v>27</v>
      </c>
      <c r="B24" s="9">
        <f>B22/(B22+B23)</f>
        <v>0.8923424361045869</v>
      </c>
    </row>
    <row r="25" spans="1:2" x14ac:dyDescent="0.25">
      <c r="A25" t="s">
        <v>28</v>
      </c>
      <c r="B25" s="9">
        <f>1-B24</f>
        <v>0.10765756389541314</v>
      </c>
    </row>
    <row r="26" spans="1:2" x14ac:dyDescent="0.25">
      <c r="A26" t="s">
        <v>29</v>
      </c>
      <c r="B26" s="11">
        <f>B24*B20+B25*B21*(1-B8)</f>
        <v>0.08109854471184719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24568000000</v>
      </c>
      <c r="C29" s="6" t="s">
        <v>32</v>
      </c>
    </row>
    <row r="30" spans="1:2" x14ac:dyDescent="0.25">
      <c r="A30" t="s">
        <v>33</v>
      </c>
      <c r="B30" s="10">
        <v>15081000000</v>
      </c>
    </row>
    <row r="31" spans="1:2" x14ac:dyDescent="0.25">
      <c r="A31" t="s">
        <v>34</v>
      </c>
      <c r="B31" s="12">
        <v>716100000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0.06892189962552919</v>
      </c>
      <c r="C5" s="5">
        <v>0.07698073479889689</v>
      </c>
      <c r="D5" s="5">
        <v>0.07048314294903478</v>
      </c>
      <c r="E5" s="5">
        <v>0.06398555109917267</v>
      </c>
      <c r="F5" s="5">
        <v>0.057487959249310557</v>
      </c>
      <c r="G5" s="5">
        <v>0.05099036739944844</v>
      </c>
      <c r="H5" s="5">
        <v>0.04449277554958633</v>
      </c>
      <c r="I5" s="5">
        <v>0.037995183699724225</v>
      </c>
      <c r="J5" s="5">
        <v>0.03149759184986211</v>
      </c>
      <c r="K5" s="5">
        <v>0.025</v>
      </c>
    </row>
    <row r="6" spans="1:11" x14ac:dyDescent="0.25">
      <c r="A6" t="s">
        <v>50</v>
      </c>
      <c r="B6" s="18">
        <f>Assumptions!B29*(1+B5)</f>
        <v>26261273230</v>
      </c>
      <c r="C6" s="18">
        <f>B6*(1+C5)</f>
        <v>28282885340</v>
      </c>
      <c r="D6" s="18">
        <f>C6*(1+D5)</f>
        <v>30276351990.430378</v>
      </c>
      <c r="E6" s="18">
        <f>D6*(1+E5)</f>
        <v>32213601057.8106</v>
      </c>
      <c r="F6" s="18">
        <f>E6*(1+F5)</f>
        <v>34065495242.69556</v>
      </c>
      <c r="G6" s="18">
        <f>F6*(1+G5)</f>
        <v>35802507360.76477</v>
      </c>
      <c r="H6" s="18">
        <f>G6*(1+H5)</f>
        <v>37395460284.87969</v>
      </c>
      <c r="I6" s="18">
        <f>H6*(1+I5)</f>
        <v>38816307667.93944</v>
      </c>
      <c r="J6" s="18">
        <f>I6*(1+J5)</f>
        <v>40038927883.982864</v>
      </c>
      <c r="K6" s="18">
        <f>J6*(1+K5)</f>
        <v>41039901081.082436</v>
      </c>
    </row>
    <row r="7" spans="1:11" x14ac:dyDescent="0.25">
      <c r="A7" t="s">
        <v>4</v>
      </c>
      <c r="B7" s="9">
        <f>Assumptions!B7</f>
        <v>0.2237959089848673</v>
      </c>
      <c r="C7" s="9">
        <f>Assumptions!B7</f>
        <v>0.2237959089848673</v>
      </c>
      <c r="D7" s="9">
        <f>Assumptions!B7</f>
        <v>0.2237959089848673</v>
      </c>
      <c r="E7" s="9">
        <f>Assumptions!B7</f>
        <v>0.2237959089848673</v>
      </c>
      <c r="F7" s="9">
        <f>Assumptions!B7</f>
        <v>0.2237959089848673</v>
      </c>
      <c r="G7" s="9">
        <f>Assumptions!B7</f>
        <v>0.2237959089848673</v>
      </c>
      <c r="H7" s="9">
        <f>Assumptions!B7</f>
        <v>0.2237959089848673</v>
      </c>
      <c r="I7" s="9">
        <f>Assumptions!B7</f>
        <v>0.2237959089848673</v>
      </c>
      <c r="J7" s="9">
        <f>Assumptions!B7</f>
        <v>0.2237959089848673</v>
      </c>
      <c r="K7" s="9">
        <f>Assumptions!B7</f>
        <v>0.2237959089848673</v>
      </c>
    </row>
    <row r="8" spans="1:11" x14ac:dyDescent="0.25">
      <c r="A8" t="s">
        <v>51</v>
      </c>
      <c r="B8" s="18">
        <f>B6*B7</f>
        <v>5877165513.607812</v>
      </c>
      <c r="C8" s="18">
        <f>C6*C7</f>
        <v>6329594033.380077</v>
      </c>
      <c r="D8" s="18">
        <f>D6*D7</f>
        <v>6775723714.444162</v>
      </c>
      <c r="E8" s="18">
        <f>E6*E7</f>
        <v>7209272130.408606</v>
      </c>
      <c r="F8" s="18">
        <f>F6*F7</f>
        <v>7623718472.858726</v>
      </c>
      <c r="G8" s="18">
        <f>G6*G7</f>
        <v>8012454678.739754</v>
      </c>
      <c r="H8" s="18">
        <f>H6*H7</f>
        <v>8368951026.362155</v>
      </c>
      <c r="I8" s="18">
        <f>I6*I7</f>
        <v>8686930857.98278</v>
      </c>
      <c r="J8" s="18">
        <f>J6*J7</f>
        <v>8960548260.575495</v>
      </c>
      <c r="K8" s="18">
        <f>K6*K7</f>
        <v>9184561967.089882</v>
      </c>
    </row>
    <row r="9" spans="1:11" x14ac:dyDescent="0.25">
      <c r="A9" t="s">
        <v>52</v>
      </c>
      <c r="B9" s="18">
        <f>B8*(1-Assumptions!B8)</f>
        <v>4965256274.325659</v>
      </c>
      <c r="C9" s="18">
        <f>C8*(1-Assumptions!B8)</f>
        <v>5347485350.788081</v>
      </c>
      <c r="D9" s="18">
        <f>D8*(1-Assumptions!B8)</f>
        <v>5724392925.185546</v>
      </c>
      <c r="E9" s="18">
        <f>E8*(1-Assumptions!B8)</f>
        <v>6090671361.211748</v>
      </c>
      <c r="F9" s="18">
        <f>F8*(1-Assumptions!B8)</f>
        <v>6440811628.226032</v>
      </c>
      <c r="G9" s="18">
        <f>G8*(1-Assumptions!B8)</f>
        <v>6769230979.499917</v>
      </c>
      <c r="H9" s="18">
        <f>H8*(1-Assumptions!B8)</f>
        <v>7070412854.114114</v>
      </c>
      <c r="I9" s="18">
        <f>I8*(1-Assumptions!B8)</f>
        <v>7339054489.339071</v>
      </c>
      <c r="J9" s="18">
        <f>J8*(1-Assumptions!B8)</f>
        <v>7570217032.208171</v>
      </c>
      <c r="K9" s="18">
        <f>K8*(1-Assumptions!B8)</f>
        <v>7759472458.013375</v>
      </c>
    </row>
    <row r="10" spans="1:11" x14ac:dyDescent="0.25">
      <c r="A10" t="s">
        <v>53</v>
      </c>
      <c r="B10" s="18">
        <f>B6*Assumptions!B9</f>
        <v>2421294415.7847457</v>
      </c>
      <c r="C10" s="18">
        <f>C6*Assumptions!B9</f>
        <v>2607687439.076321</v>
      </c>
      <c r="D10" s="18">
        <f>D6*Assumptions!B9</f>
        <v>2791485445.61114</v>
      </c>
      <c r="E10" s="18">
        <f>E6*Assumptions!B9</f>
        <v>2970100180.233888</v>
      </c>
      <c r="F10" s="18">
        <f>F6*Assumptions!B9</f>
        <v>3140845178.3615437</v>
      </c>
      <c r="G10" s="18">
        <f>G6*Assumptions!B9</f>
        <v>3300998027.950985</v>
      </c>
      <c r="H10" s="18">
        <f>H6*Assumptions!B9</f>
        <v>3447868592.2982354</v>
      </c>
      <c r="I10" s="18">
        <f>I6*Assumptions!B9</f>
        <v>3578870992.8351164</v>
      </c>
      <c r="J10" s="18">
        <f>J6*Assumptions!B9</f>
        <v>3691596810.6507473</v>
      </c>
      <c r="K10" s="18">
        <f>K6*Assumptions!B9</f>
        <v>3783886730.917016</v>
      </c>
    </row>
    <row r="11" spans="1:11" x14ac:dyDescent="0.25">
      <c r="A11" t="s">
        <v>54</v>
      </c>
      <c r="B11" s="18">
        <f>-B6*B19</f>
        <v>-1347264467.824297</v>
      </c>
      <c r="C11" s="18">
        <f>-C6*C19</f>
        <v>-1615301369.4545233</v>
      </c>
      <c r="D11" s="18">
        <f>-D6*D19</f>
        <v>-1905058415.9542012</v>
      </c>
      <c r="E11" s="18">
        <f>-E6*E19</f>
        <v>-2214115569.9711657</v>
      </c>
      <c r="F11" s="18">
        <f>-F6*F19</f>
        <v>-2539320997.598987</v>
      </c>
      <c r="G11" s="18">
        <f>-G6*G19</f>
        <v>-2876814386.231561</v>
      </c>
      <c r="H11" s="18">
        <f>-H6*H19</f>
        <v>-3222079373.531902</v>
      </c>
      <c r="I11" s="18">
        <f>-I6*I19</f>
        <v>-3570025521.474196</v>
      </c>
      <c r="J11" s="18">
        <f>-J6*J19</f>
        <v>-3915098798.8835063</v>
      </c>
      <c r="K11" s="18">
        <f>-K6*K19</f>
        <v>-4251417991.2619276</v>
      </c>
    </row>
    <row r="12" spans="1:11" x14ac:dyDescent="0.25">
      <c r="A12" t="s">
        <v>55</v>
      </c>
      <c r="B12" s="18">
        <f>-(B6-Assumptions!B29)*Assumptions!B11</f>
        <v>-316307933.1577396</v>
      </c>
      <c r="C12" s="18">
        <f>-(C6-B6)*Assumptions!B11</f>
        <v>-377642507.32337916</v>
      </c>
      <c r="D12" s="18">
        <f>-(D6-C6)*Assumptions!B11</f>
        <v>-372384860.7802741</v>
      </c>
      <c r="E12" s="18">
        <f>-(E6-D6)*Assumptions!B11</f>
        <v>-361883267.070133</v>
      </c>
      <c r="F12" s="18">
        <f>-(F6-E6)*Assumptions!B11</f>
        <v>-345938748.4958931</v>
      </c>
      <c r="G12" s="18">
        <f>-(G6-F6)*Assumptions!B11</f>
        <v>-324478473.52811414</v>
      </c>
      <c r="H12" s="18">
        <f>-(H6-G6)*Assumptions!B11</f>
        <v>-297567833.77740425</v>
      </c>
      <c r="I12" s="18">
        <f>-(I6-H6)*Assumptions!B11</f>
        <v>-265418061.95578447</v>
      </c>
      <c r="J12" s="18">
        <f>-(J6-I6)*Assumptions!B11</f>
        <v>-228388701.0801944</v>
      </c>
      <c r="K12" s="18">
        <f>-(K6-J6)*Assumptions!B11</f>
        <v>-186984449.7103755</v>
      </c>
    </row>
    <row r="13" spans="1:11" x14ac:dyDescent="0.25">
      <c r="A13" s="19" t="s">
        <v>56</v>
      </c>
      <c r="B13" s="20">
        <f>B9+B10+B11+B12</f>
        <v>5722978289.128368</v>
      </c>
      <c r="C13" s="20">
        <f>C9+C10+C11+C12</f>
        <v>5962228913.0865</v>
      </c>
      <c r="D13" s="20">
        <f>D9+D10+D11+D12</f>
        <v>6238435094.062211</v>
      </c>
      <c r="E13" s="20">
        <f>E9+E10+E11+E12</f>
        <v>6484772704.404338</v>
      </c>
      <c r="F13" s="20">
        <f>F9+F10+F11+F12</f>
        <v>6696397060.492695</v>
      </c>
      <c r="G13" s="20">
        <f>G9+G10+G11+G12</f>
        <v>6868936147.691225</v>
      </c>
      <c r="H13" s="20">
        <f>H9+H10+H11+H12</f>
        <v>6998634239.103044</v>
      </c>
      <c r="I13" s="20">
        <f>I9+I10+I11+I12</f>
        <v>7082481898.744206</v>
      </c>
      <c r="J13" s="20">
        <f>J9+J10+J11+J12</f>
        <v>7118326342.895216</v>
      </c>
      <c r="K13" s="20">
        <f>K9+K10+K11+K12</f>
        <v>7104956747.958088</v>
      </c>
    </row>
    <row r="14" spans="1:11" x14ac:dyDescent="0.25">
      <c r="A14" t="s">
        <v>57</v>
      </c>
      <c r="B14" s="21">
        <f>1/(1+Assumptions!$B$26)^(1-0.5*Assumptions!$B$32)</f>
        <v>0.961761435035892</v>
      </c>
      <c r="C14" s="21">
        <f>1/(1+Assumptions!$B$26)^(2-0.5*Assumptions!$B$32)</f>
        <v>0.889614956694107</v>
      </c>
      <c r="D14" s="21">
        <f>1/(1+Assumptions!$B$26)^(3-0.5*Assumptions!$B$32)</f>
        <v>0.8228805422462412</v>
      </c>
      <c r="E14" s="21">
        <f>1/(1+Assumptions!$B$26)^(4-0.5*Assumptions!$B$32)</f>
        <v>0.7611522060327715</v>
      </c>
      <c r="F14" s="21">
        <f>1/(1+Assumptions!$B$26)^(5-0.5*Assumptions!$B$32)</f>
        <v>0.704054417384908</v>
      </c>
      <c r="G14" s="21">
        <f>1/(1+Assumptions!$B$26)^(6-0.5*Assumptions!$B$32)</f>
        <v>0.651239816045229</v>
      </c>
      <c r="H14" s="21">
        <f>1/(1+Assumptions!$B$26)^(7-0.5*Assumptions!$B$32)</f>
        <v>0.6023870989659028</v>
      </c>
      <c r="I14" s="21">
        <f>1/(1+Assumptions!$B$26)^(8-0.5*Assumptions!$B$32)</f>
        <v>0.5571990656286208</v>
      </c>
      <c r="J14" s="21">
        <f>1/(1+Assumptions!$B$26)^(9-0.5*Assumptions!$B$32)</f>
        <v>0.5154008099947401</v>
      </c>
      <c r="K14" s="21">
        <f>1/(1+Assumptions!$B$26)^(10-0.5*Assumptions!$B$32)</f>
        <v>0.476738048086184</v>
      </c>
    </row>
    <row r="15" spans="1:11" x14ac:dyDescent="0.25">
      <c r="A15" s="19" t="s">
        <v>58</v>
      </c>
      <c r="B15" s="20">
        <f>B13*B14</f>
        <v>5504139812.031353</v>
      </c>
      <c r="C15" s="20">
        <f>C13*C14</f>
        <v>5304088016.315799</v>
      </c>
      <c r="D15" s="20">
        <f>D13*D14</f>
        <v>5133486852.9698925</v>
      </c>
      <c r="E15" s="20">
        <f>E13*E14</f>
        <v>4935899049.578464</v>
      </c>
      <c r="F15" s="20">
        <f>F13*F14</f>
        <v>4714627931.003195</v>
      </c>
      <c r="G15" s="20">
        <f>G13*G14</f>
        <v>4473324713.2488575</v>
      </c>
      <c r="H15" s="20">
        <f>H13*H14</f>
        <v>4215886976.0167212</v>
      </c>
      <c r="I15" s="20">
        <f>I13*I14</f>
        <v>3946352296.3118916</v>
      </c>
      <c r="J15" s="20">
        <f>J13*J14</f>
        <v>3668791162.9350905</v>
      </c>
      <c r="K15" s="20">
        <f>K13*K14</f>
        <v>3387203211.7583003</v>
      </c>
    </row>
    <row r="17" spans="1:2" x14ac:dyDescent="0.25">
      <c r="A17" s="22" t="s">
        <v>59</v>
      </c>
      <c r="B17" s="23">
        <f>SUM(B15:K15)</f>
        <v>45283800022.16956</v>
      </c>
    </row>
    <row r="19" spans="1:11" x14ac:dyDescent="0.25">
      <c r="A19" t="s">
        <v>7</v>
      </c>
      <c r="B19" s="9">
        <f>Assumptions!$B$10+($B$20-Assumptions!$B$10)*0/9</f>
        <v>0.05130232856666017</v>
      </c>
      <c r="C19" s="9">
        <f>Assumptions!$B$10+($B$20-Assumptions!$B$10)*1/9</f>
        <v>0.05711232605995932</v>
      </c>
      <c r="D19" s="9">
        <f>Assumptions!$B$10+($B$20-Assumptions!$B$10)*2/9</f>
        <v>0.06292232355325847</v>
      </c>
      <c r="E19" s="9">
        <f>Assumptions!$B$10+($B$20-Assumptions!$B$10)*3/9</f>
        <v>0.0687323210465576</v>
      </c>
      <c r="F19" s="9">
        <f>Assumptions!$B$10+($B$20-Assumptions!$B$10)*4/9</f>
        <v>0.07454231853985675</v>
      </c>
      <c r="G19" s="9">
        <f>Assumptions!$B$10+($B$20-Assumptions!$B$10)*5/9</f>
        <v>0.0803523160331559</v>
      </c>
      <c r="H19" s="9">
        <f>Assumptions!$B$10+($B$20-Assumptions!$B$10)*6/9</f>
        <v>0.08616231352645504</v>
      </c>
      <c r="I19" s="9">
        <f>Assumptions!$B$10+($B$20-Assumptions!$B$10)*7/9</f>
        <v>0.0919723110197542</v>
      </c>
      <c r="J19" s="9">
        <f>Assumptions!$B$10+($B$20-Assumptions!$B$10)*8/9</f>
        <v>0.09778230851305333</v>
      </c>
      <c r="K19" s="9">
        <f>Assumptions!$B$10+($B$20-Assumptions!$B$10)*9/9</f>
        <v>0.10359230600635248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0.10359230600635248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7104956747.958088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9957869885.155416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0.30826693732702587</v>
      </c>
    </row>
    <row r="7" spans="1:2" x14ac:dyDescent="0.25">
      <c r="A7" t="s">
        <v>66</v>
      </c>
      <c r="B7" s="18">
        <f>-MAX(B5,0)*B6</f>
        <v>-3069682051.797883</v>
      </c>
    </row>
    <row r="8" spans="1:2" x14ac:dyDescent="0.25">
      <c r="A8" t="s">
        <v>67</v>
      </c>
      <c r="B8" s="18">
        <f>IF(OR(Assumptions!$B$33=0,Assumptions!B12&lt;=0),B5,MAX(B5+B7,0))</f>
        <v>6888187833.357533</v>
      </c>
    </row>
    <row r="9" spans="1:2" x14ac:dyDescent="0.25">
      <c r="A9" t="s">
        <v>68</v>
      </c>
      <c r="B9" s="18">
        <f>B8*(1+Assumptions!B12)/(Assumptions!B26-Assumptions!B12)</f>
        <v>125856964123.71318</v>
      </c>
    </row>
    <row r="10" spans="1:2" x14ac:dyDescent="0.25">
      <c r="A10" t="s">
        <v>69</v>
      </c>
      <c r="B10" s="18">
        <f>B9/(1+Assumptions!B26)^(10-0.5*Assumptions!B32)</f>
        <v>60000803414.39191</v>
      </c>
    </row>
    <row r="11" spans="1:2" x14ac:dyDescent="0.25">
      <c r="A11" t="s">
        <v>70</v>
      </c>
      <c r="B11" s="18">
        <f>Forecast!B17+B10</f>
        <v>105284603436.56146</v>
      </c>
    </row>
    <row r="12" spans="1:2" x14ac:dyDescent="0.25">
      <c r="A12" t="s">
        <v>71</v>
      </c>
      <c r="B12" s="18">
        <f>-Assumptions!B30</f>
        <v>-15081000000</v>
      </c>
    </row>
    <row r="13" spans="1:2" x14ac:dyDescent="0.25">
      <c r="A13" t="s">
        <v>72</v>
      </c>
      <c r="B13" s="18">
        <f>B11+B12</f>
        <v>90203603436.56146</v>
      </c>
    </row>
    <row r="14" spans="1:2" x14ac:dyDescent="0.25">
      <c r="A14" s="19" t="s">
        <v>73</v>
      </c>
      <c r="B14" s="24">
        <f>B13/Assumptions!B31</f>
        <v>125.96509347376269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12968448698.006897</v>
      </c>
    </row>
    <row r="18" spans="1:2" x14ac:dyDescent="0.25">
      <c r="A18" t="s">
        <v>68</v>
      </c>
      <c r="B18" s="18">
        <f>B17*Assumptions!B13</f>
        <v>259368973960.13794</v>
      </c>
    </row>
    <row r="19" spans="1:2" x14ac:dyDescent="0.25">
      <c r="A19" t="s">
        <v>69</v>
      </c>
      <c r="B19" s="18">
        <f>B18/(1+Assumptions!B26)^(10-0.5*Assumptions!B32)</f>
        <v>123651058379.87244</v>
      </c>
    </row>
    <row r="20" spans="1:2" x14ac:dyDescent="0.25">
      <c r="A20" t="s">
        <v>70</v>
      </c>
      <c r="B20" s="18">
        <f>Forecast!B17+B19</f>
        <v>168934858402.042</v>
      </c>
    </row>
    <row r="21" spans="1:2" x14ac:dyDescent="0.25">
      <c r="A21" t="s">
        <v>71</v>
      </c>
      <c r="B21" s="18">
        <f>-Assumptions!B30</f>
        <v>-15081000000</v>
      </c>
    </row>
    <row r="22" spans="1:2" x14ac:dyDescent="0.25">
      <c r="A22" t="s">
        <v>72</v>
      </c>
      <c r="B22" s="18">
        <f>B20+B21</f>
        <v>153853858402.042</v>
      </c>
    </row>
    <row r="23" spans="1:2" x14ac:dyDescent="0.25">
      <c r="A23" s="19" t="s">
        <v>73</v>
      </c>
      <c r="B23" s="25">
        <f>B22/Assumptions!B31</f>
        <v>214.84968356659962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232.23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125.96509347376269</v>
      </c>
    </row>
    <row r="29" spans="1:2" x14ac:dyDescent="0.25">
      <c r="A29" s="19" t="s">
        <v>81</v>
      </c>
      <c r="B29" s="11">
        <f>B28/B26-1</f>
        <v>-0.45758475014527533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0.061099</v>
      </c>
      <c r="B5" s="31">
        <v>182.75436897258373</v>
      </c>
      <c r="C5" s="31">
        <v>180.27530896238608</v>
      </c>
      <c r="D5" s="31">
        <v>177.87635673746652</v>
      </c>
      <c r="E5" s="31">
        <v>175.59615073569051</v>
      </c>
      <c r="F5" s="31">
        <v>173.502938527737</v>
      </c>
    </row>
    <row r="6" spans="1:6" x14ac:dyDescent="0.25">
      <c r="A6" s="30">
        <v>0.071099</v>
      </c>
      <c r="B6" s="31">
        <v>152.17206227139113</v>
      </c>
      <c r="C6" s="31">
        <v>149.89569932819265</v>
      </c>
      <c r="D6" s="31">
        <v>147.61933638499423</v>
      </c>
      <c r="E6" s="31">
        <v>145.3429734417958</v>
      </c>
      <c r="F6" s="31">
        <v>143.06661049859736</v>
      </c>
    </row>
    <row r="7" spans="1:6" x14ac:dyDescent="0.25">
      <c r="A7" s="30">
        <v>0.081099</v>
      </c>
      <c r="B7" s="31">
        <v>129.73702208191472</v>
      </c>
      <c r="C7" s="31">
        <v>127.85062632101041</v>
      </c>
      <c r="D7" s="32">
        <v>125.96423056010606</v>
      </c>
      <c r="E7" s="31">
        <v>124.07783479920175</v>
      </c>
      <c r="F7" s="31">
        <v>122.19143903829742</v>
      </c>
    </row>
    <row r="8" spans="1:6" x14ac:dyDescent="0.25">
      <c r="A8" s="30">
        <v>0.091099</v>
      </c>
      <c r="B8" s="31">
        <v>112.29632936306089</v>
      </c>
      <c r="C8" s="31">
        <v>110.70759909713586</v>
      </c>
      <c r="D8" s="31">
        <v>109.1188688312108</v>
      </c>
      <c r="E8" s="31">
        <v>107.53013856528572</v>
      </c>
      <c r="F8" s="31">
        <v>105.94140829936063</v>
      </c>
    </row>
    <row r="9" spans="1:6" x14ac:dyDescent="0.25">
      <c r="A9" s="30">
        <v>0.101099</v>
      </c>
      <c r="B9" s="31">
        <v>98.36387356614762</v>
      </c>
      <c r="C9" s="31">
        <v>97.00837918859585</v>
      </c>
      <c r="D9" s="31">
        <v>95.65288481104407</v>
      </c>
      <c r="E9" s="31">
        <v>94.29739043349228</v>
      </c>
      <c r="F9" s="31">
        <v>92.94189605594053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24568000000</v>
      </c>
      <c r="C5" s="18">
        <v>23875000000</v>
      </c>
      <c r="D5" s="18">
        <v>23890000000</v>
      </c>
      <c r="E5" s="18">
        <v>26643000000</v>
      </c>
      <c r="F5" s="6" t="s">
        <v>91</v>
      </c>
    </row>
    <row r="6" spans="1:6" x14ac:dyDescent="0.25">
      <c r="A6" t="s">
        <v>51</v>
      </c>
      <c r="B6" s="18">
        <v>4690000000</v>
      </c>
      <c r="C6" s="18">
        <v>4863000000</v>
      </c>
      <c r="D6" s="18">
        <v>5202000000</v>
      </c>
      <c r="E6" s="18">
        <v>7536000000</v>
      </c>
      <c r="F6" s="6" t="s">
        <v>92</v>
      </c>
    </row>
    <row r="7" spans="1:6" x14ac:dyDescent="0.25">
      <c r="A7" t="s">
        <v>93</v>
      </c>
      <c r="B7" s="18">
        <v>2447000000</v>
      </c>
      <c r="C7" s="18">
        <v>2352000000</v>
      </c>
      <c r="D7" s="18">
        <v>2166000000</v>
      </c>
      <c r="E7" s="18">
        <v>2132000000</v>
      </c>
      <c r="F7" s="6" t="s">
        <v>94</v>
      </c>
    </row>
    <row r="8" spans="1:6" x14ac:dyDescent="0.25">
      <c r="A8" t="s">
        <v>95</v>
      </c>
      <c r="B8" s="18">
        <v>1156000000</v>
      </c>
      <c r="C8" s="18">
        <v>1392000000</v>
      </c>
      <c r="D8" s="18">
        <v>1383000000</v>
      </c>
      <c r="E8" s="18">
        <v>1118000000</v>
      </c>
      <c r="F8" s="6" t="s">
        <v>96</v>
      </c>
    </row>
    <row r="9" spans="1:6" x14ac:dyDescent="0.25">
      <c r="A9" t="s">
        <v>97</v>
      </c>
      <c r="B9" s="18">
        <v>719000000</v>
      </c>
      <c r="C9" s="18">
        <v>198000000</v>
      </c>
      <c r="D9" s="18">
        <v>470000000</v>
      </c>
      <c r="E9" s="18">
        <v>1413000000</v>
      </c>
      <c r="F9" s="6" t="s">
        <v>98</v>
      </c>
    </row>
    <row r="10" spans="1:6" x14ac:dyDescent="0.25">
      <c r="A10" t="s">
        <v>99</v>
      </c>
      <c r="B10" s="18">
        <v>19696000000</v>
      </c>
      <c r="C10" s="18">
        <v>17146000000</v>
      </c>
      <c r="D10" s="18">
        <v>19536000000</v>
      </c>
      <c r="E10" s="18">
        <v>20616000000</v>
      </c>
      <c r="F10" s="6" t="s">
        <v>100</v>
      </c>
    </row>
    <row r="11" spans="1:6" x14ac:dyDescent="0.25">
      <c r="A11" t="s">
        <v>101</v>
      </c>
      <c r="B11" s="18">
        <v>4615000000</v>
      </c>
      <c r="C11" s="18">
        <v>2078000000</v>
      </c>
      <c r="D11" s="18">
        <v>5864000000</v>
      </c>
      <c r="E11" s="18">
        <v>5995000000</v>
      </c>
      <c r="F11" s="6" t="s">
        <v>102</v>
      </c>
    </row>
    <row r="12" spans="1:6" x14ac:dyDescent="0.25">
      <c r="A12" t="s">
        <v>34</v>
      </c>
      <c r="B12" s="34">
        <v>716100000</v>
      </c>
      <c r="C12" s="34">
        <v>737200000</v>
      </c>
      <c r="D12" s="34">
        <v>743100000</v>
      </c>
      <c r="E12" s="34">
        <v>737100000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