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<sst xmlns="http://schemas.openxmlformats.org/spreadsheetml/2006/main" count="112" uniqueCount="100">
  <si>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Danaher Corporation (DHR)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</si>
  <si>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</si>
  <si>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</si>
  <si>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</si>
  <si>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</si>
  <si>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</si>
  <si>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</si>
  <si>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</si>
  <si>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</si>
  <si>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</si>
  <si>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</si>
  <si>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</si>
  <si>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</si>
  <si>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</si>
  <si>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</si>
  <si>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</si>
  <si>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</si>
  <si>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</si>
  <si>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</si>
  <si>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</si>
  <si>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</si>
  <si>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</si>
  <si>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</si>
  <si>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</si>
  <si>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</si>
  <si>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</si>
  <si>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</si>
  <si>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</si>
  <si>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</si>
  <si>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</si>
  <si>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</si>
  <si>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</si>
  <si>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</si>
  <si>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</si>
  <si>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</si>
  <si>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</si>
  <si>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</si>
  <si>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</si>
  <si>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</si>
  <si>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</si>
  <si>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</si>
  <si>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</si>
  <si>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</si>
  <si>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</si>
  <si>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</si>
  <si>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</si>
  <si>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</si>
  <si>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</si>
  <si>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</si>
  <si>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</si>
  <si>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</si>
  <si>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</si>
  <si>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</si>
  <si>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</si>
  <si>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</si>
  <si>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</si>
  <si>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</si>
  <si>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</si>
  <si>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</si>
  <si>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</si>
  <si>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</si>
  <si>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</si>
  <si>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</si>
  <si>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</si>
  <si>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</si>
  <si>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</si>
  <si>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</si>
  <si>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</si>
  <si>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</si>
  <si>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</si>
  <si>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</si>
  <si>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</si>
  <si>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</si>
  <si>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</si>
  <si>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</si>
  <si>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</si>
  <si>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</si>
  <si>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</si>
  <si>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</si>
  <si>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</si>
  <si>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</si>
  <si>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</si>
  <si>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</si>
  <si>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</si>
  <si>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</si>
  <si>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</si>
  <si>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</si>
  <si>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</si>
  <si>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</si>
  <si>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</si>
  <si>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</si>
  <si>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</si>
  <si>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</si>
  <si>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</si>
  <si>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</si>
  <si>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</si>
  <si>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</si>
  <si>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</si>
  <si>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23.0x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</si>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</sst>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-0.026665255865112814</v>
      </c>
    </row>
    <row r="7" spans="1:2" x14ac:dyDescent="0.25">
      <c r="A7" t="s">
        <v>5</v>
      </c>
      <c r="B7" s="6">
        <v>0.2237959089848673</v>
      </c>
    </row>
    <row r="8" spans="1:2" x14ac:dyDescent="0.25">
      <c r="A8" t="s">
        <v>6</v>
      </c>
      <c r="B8" s="6">
        <v>0.15516140172856221</v>
      </c>
    </row>
    <row r="9" spans="1:2" x14ac:dyDescent="0.25">
      <c r="A9" t="s">
        <v>7</v>
      </c>
      <c r="B9" s="6">
        <v>0.09220019130750827</v>
      </c>
    </row>
    <row r="10" spans="1:2" x14ac:dyDescent="0.25">
      <c r="A10" t="s">
        <v>8</v>
      </c>
      <c r="B10" s="6">
        <v>0.05130232856666017</v>
      </c>
    </row>
    <row r="11" spans="1:2" x14ac:dyDescent="0.25">
      <c r="A11" t="s">
        <v>9</v>
      </c>
      <c r="B11" s="6">
        <v>-0.17072284780239738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0.09140006635615001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0.87136</v>
      </c>
      <c r="C19" s="8" t="s">
        <v>19</v>
      </c>
    </row>
    <row r="20" spans="1:2" x14ac:dyDescent="0.25">
      <c r="A20" t="s">
        <v>20</v>
      </c>
      <c r="B20" s="10">
        <f>B17+B19*B18</f>
        <v>0.09790480000000001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148899479552</v>
      </c>
    </row>
    <row r="23" spans="1:2" x14ac:dyDescent="0.25">
      <c r="A23" t="s">
        <v>24</v>
      </c>
      <c r="B23" s="11">
        <v>19696000000</v>
      </c>
    </row>
    <row r="24" spans="1:2" x14ac:dyDescent="0.25">
      <c r="A24" t="s">
        <v>25</v>
      </c>
      <c r="B24" s="10">
        <f>B22/(B22+B23)</f>
        <v>0.8831759899355714</v>
      </c>
    </row>
    <row r="25" spans="1:2" x14ac:dyDescent="0.25">
      <c r="A25" t="s">
        <v>26</v>
      </c>
      <c r="B25" s="10">
        <f>1-B24</f>
        <v>0.11682401006442855</v>
      </c>
    </row>
    <row r="26" spans="1:2" x14ac:dyDescent="0.25">
      <c r="A26" t="s">
        <v>27</v>
      </c>
      <c r="B26" s="12">
        <f>B24*B20+B25*B21*(1-B8)</f>
        <v>0.09140006635615001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24568000000</v>
      </c>
      <c r="C29" s="8" t="s">
        <v>30</v>
      </c>
    </row>
    <row r="30" spans="1:2" x14ac:dyDescent="0.25">
      <c r="A30" t="s">
        <v>31</v>
      </c>
      <c r="B30" s="11">
        <v>15081000000</v>
      </c>
    </row>
    <row r="31" spans="1:2" x14ac:dyDescent="0.25">
      <c r="A31" t="s">
        <v>32</v>
      </c>
      <c r="B31" s="13">
        <v>716100000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-0.026665255865112814</v>
      </c>
      <c r="C5" s="10">
        <f>Assumptions!B6</f>
        <v>-0.026665255865112814</v>
      </c>
      <c r="D5" s="10">
        <f>Assumptions!B6</f>
        <v>-0.026665255865112814</v>
      </c>
      <c r="E5" s="10">
        <f>Assumptions!B6</f>
        <v>-0.026665255865112814</v>
      </c>
      <c r="F5" s="10">
        <f>Assumptions!B6</f>
        <v>-0.026665255865112814</v>
      </c>
    </row>
    <row r="6" spans="1:6" x14ac:dyDescent="0.25">
      <c r="A6" t="s">
        <v>43</v>
      </c>
      <c r="B6" s="18">
        <f>Assumptions!B29*(1+B5)</f>
        <v>23912887993.905907</v>
      </c>
      <c r="C6" s="18">
        <f>B6*(1+C5)</f>
        <v>23275244717.074623</v>
      </c>
      <c r="D6" s="18">
        <f>C6*(1+D5)</f>
        <v>22654604361.370712</v>
      </c>
      <c r="E6" s="18">
        <f>D6*(1+E5)</f>
        <v>22050513539.55186</v>
      </c>
      <c r="F6" s="18">
        <f>E6*(1+F5)</f>
        <v>21462530954.062576</v>
      </c>
    </row>
    <row r="7" spans="1:6" x14ac:dyDescent="0.25">
      <c r="A7" t="s">
        <v>5</v>
      </c>
      <c r="B7" s="10">
        <f>Assumptions!B7</f>
        <v>0.2237959089848673</v>
      </c>
      <c r="C7" s="10">
        <f>Assumptions!B7</f>
        <v>0.2237959089848673</v>
      </c>
      <c r="D7" s="10">
        <f>Assumptions!B7</f>
        <v>0.2237959089848673</v>
      </c>
      <c r="E7" s="10">
        <f>Assumptions!B7</f>
        <v>0.2237959089848673</v>
      </c>
      <c r="F7" s="10">
        <f>Assumptions!B7</f>
        <v>0.2237959089848673</v>
      </c>
    </row>
    <row r="8" spans="1:6" x14ac:dyDescent="0.25">
      <c r="A8" t="s">
        <v>44</v>
      </c>
      <c r="B8" s="18">
        <f>B6*B7</f>
        <v>5351606505.049492</v>
      </c>
      <c r="C8" s="18">
        <f>C6*C7</f>
        <v>5208904548.302945</v>
      </c>
      <c r="D8" s="18">
        <f>D6*D7</f>
        <v>5070007775.745498</v>
      </c>
      <c r="E8" s="18">
        <f>E6*E7</f>
        <v>4934814721.167132</v>
      </c>
      <c r="F8" s="18">
        <f>F6*F7</f>
        <v>4803226623.980286</v>
      </c>
    </row>
    <row r="9" spans="1:6" x14ac:dyDescent="0.25">
      <c r="A9" t="s">
        <v>45</v>
      </c>
      <c r="B9" s="18">
        <f>B8*(1-Assumptions!B8)</f>
        <v>4521243738.226321</v>
      </c>
      <c r="C9" s="18">
        <f>C8*(1-Assumptions!B8)</f>
        <v>4400683617.117977</v>
      </c>
      <c r="D9" s="18">
        <f>D8*(1-Assumptions!B8)</f>
        <v>4283338262.4861164</v>
      </c>
      <c r="E9" s="18">
        <f>E8*(1-Assumptions!B8)</f>
        <v>4169121951.7600965</v>
      </c>
      <c r="F9" s="18">
        <f>F8*(1-Assumptions!B8)</f>
        <v>4057951248.183555</v>
      </c>
    </row>
    <row r="10" spans="1:6" x14ac:dyDescent="0.25">
      <c r="A10" t="s">
        <v>46</v>
      </c>
      <c r="B10" s="18">
        <f>B6*Assumptions!B9</f>
        <v>2204772847.7531424</v>
      </c>
      <c r="C10" s="18">
        <f>C6*Assumptions!B9</f>
        <v>2145982015.6433516</v>
      </c>
      <c r="D10" s="18">
        <f>D6*Assumptions!B9</f>
        <v>2088758856.114291</v>
      </c>
      <c r="E10" s="18">
        <f>E6*Assumptions!B9</f>
        <v>2033061566.775483</v>
      </c>
      <c r="F10" s="18">
        <f>F6*Assumptions!B9</f>
        <v>1978849459.9078875</v>
      </c>
    </row>
    <row r="11" spans="1:6" x14ac:dyDescent="0.25">
      <c r="A11" t="s">
        <v>47</v>
      </c>
      <c r="B11" s="18">
        <f>-B6*Assumptions!B10</f>
        <v>-1226786836.841104</v>
      </c>
      <c r="C11" s="18">
        <f>-C6*Assumptions!B10</f>
        <v>-1194074251.9447837</v>
      </c>
      <c r="D11" s="18">
        <f>-D6*Assumptions!B10</f>
        <v>-1162233956.4947329</v>
      </c>
      <c r="E11" s="18">
        <f>-E6*Assumptions!B10</f>
        <v>-1131242690.6696782</v>
      </c>
      <c r="F11" s="18">
        <f>-F6*Assumptions!B10</f>
        <v>-1101077814.8774326</v>
      </c>
    </row>
    <row r="12" spans="1:6" x14ac:dyDescent="0.25">
      <c r="A12" t="s">
        <v>48</v>
      </c>
      <c r="B12" s="18">
        <f>-(B6-Assumptions!B29)*Assumptions!B11</f>
        <v>-111842587.30992512</v>
      </c>
      <c r="C12" s="18">
        <f>-(C6-B6)*Assumptions!B11</f>
        <v>-108860276.10268916</v>
      </c>
      <c r="D12" s="18">
        <f>-(D6-C6)*Assumptions!B11</f>
        <v>-105957488.98686454</v>
      </c>
      <c r="E12" s="18">
        <f>-(E6-D6)*Assumptions!B11</f>
        <v>-103132105.43220493</v>
      </c>
      <c r="F12" s="18">
        <f>-(F6-E6)*Assumptions!B11</f>
        <v>-100382061.45294723</v>
      </c>
    </row>
    <row r="13" spans="1:6" x14ac:dyDescent="0.25">
      <c r="A13" s="19" t="s">
        <v>49</v>
      </c>
      <c r="B13" s="20">
        <f>B9+B10+B11+B12</f>
        <v>5387387161.828434</v>
      </c>
      <c r="C13" s="20">
        <f>C9+C10+C11+C12</f>
        <v>5243731104.713857</v>
      </c>
      <c r="D13" s="20">
        <f>D9+D10+D11+D12</f>
        <v>5103905673.118811</v>
      </c>
      <c r="E13" s="20">
        <f>E9+E10+E11+E12</f>
        <v>4967808722.433697</v>
      </c>
      <c r="F13" s="20">
        <f>F9+F10+F11+F12</f>
        <v>4835340831.761062</v>
      </c>
    </row>
    <row r="14" spans="1:6" x14ac:dyDescent="0.25">
      <c r="A14" t="s">
        <v>50</v>
      </c>
      <c r="B14" s="21">
        <f>1/(1+Assumptions!$B$26)^(1-0.5*Assumptions!$B$32)</f>
        <v>0.9572117302356496</v>
      </c>
      <c r="C14" s="21">
        <f>1/(1+Assumptions!$B$26)^(2-0.5*Assumptions!$B$32)</f>
        <v>0.8770493604893078</v>
      </c>
      <c r="D14" s="21">
        <f>1/(1+Assumptions!$B$26)^(3-0.5*Assumptions!$B$32)</f>
        <v>0.8036002447915426</v>
      </c>
      <c r="E14" s="21">
        <f>1/(1+Assumptions!$B$26)^(4-0.5*Assumptions!$B$32)</f>
        <v>0.736302176959286</v>
      </c>
      <c r="F14" s="21">
        <f>1/(1+Assumptions!$B$26)^(5-0.5*Assumptions!$B$32)</f>
        <v>0.6746400331617837</v>
      </c>
    </row>
    <row r="15" spans="1:6" x14ac:dyDescent="0.25">
      <c r="A15" s="19" t="s">
        <v>51</v>
      </c>
      <c r="B15" s="20">
        <f>B13*B14</f>
        <v>5156870186.623121</v>
      </c>
      <c r="C15" s="20">
        <f>C13*C14</f>
        <v>4599011011.967179</v>
      </c>
      <c r="D15" s="20">
        <f>D13*D14</f>
        <v>4101499848.311219</v>
      </c>
      <c r="E15" s="20">
        <f>E13*E14</f>
        <v>3657808377.0452604</v>
      </c>
      <c r="F15" s="20">
        <f>F13*F14</f>
        <v>3262114499.087809</v>
      </c>
    </row>
    <row r="17" spans="1:2" x14ac:dyDescent="0.25">
      <c r="A17" s="22" t="s">
        <v>52</v>
      </c>
      <c r="B17" s="23">
        <f>SUM(B15:F15)</f>
        <v>20777303923.03459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4835340831.761062</v>
      </c>
    </row>
    <row r="5" spans="1:2" x14ac:dyDescent="0.25">
      <c r="A5" t="s">
        <v>56</v>
      </c>
      <c r="B5" s="18">
        <f>IF(Assumptions!$B$33=0,B4,B4-Forecast!F11-Forecast!F10-Forecast!F12)</f>
        <v>5207641466.396994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0.27352277735318986</v>
      </c>
    </row>
    <row r="7" spans="1:2" x14ac:dyDescent="0.25">
      <c r="A7" t="s">
        <v>58</v>
      </c>
      <c r="B7" s="18">
        <f>-MAX(Forecast!F9,0)*B6</f>
        <v>-1424408557.3485441</v>
      </c>
    </row>
    <row r="8" spans="1:2" x14ac:dyDescent="0.25">
      <c r="A8" t="s">
        <v>59</v>
      </c>
      <c r="B8" s="18">
        <f>IF(OR(Assumptions!$B$33=0,Assumptions!B12&lt;=0),B5,MAX(B5+B7,0))</f>
        <v>3783232909.0484495</v>
      </c>
    </row>
    <row r="9" spans="1:2" x14ac:dyDescent="0.25">
      <c r="A9" t="s">
        <v>60</v>
      </c>
      <c r="B9" s="18">
        <f>B8*(1+Assumptions!B12)/(Assumptions!B26-Assumptions!B12)</f>
        <v>58400750851.29031</v>
      </c>
    </row>
    <row r="10" spans="1:2" x14ac:dyDescent="0.25">
      <c r="A10" t="s">
        <v>61</v>
      </c>
      <c r="B10" s="18">
        <f>B9/(1+Assumptions!B26)^(5-0.5*Assumptions!B32)</f>
        <v>39399484490.987564</v>
      </c>
    </row>
    <row r="11" spans="1:2" x14ac:dyDescent="0.25">
      <c r="A11" t="s">
        <v>62</v>
      </c>
      <c r="B11" s="18">
        <f>Forecast!B17+B10</f>
        <v>60176788414.022156</v>
      </c>
    </row>
    <row r="12" spans="1:2" x14ac:dyDescent="0.25">
      <c r="A12" t="s">
        <v>63</v>
      </c>
      <c r="B12" s="18">
        <f>-Assumptions!B30</f>
        <v>-15081000000</v>
      </c>
    </row>
    <row r="13" spans="1:2" x14ac:dyDescent="0.25">
      <c r="A13" t="s">
        <v>64</v>
      </c>
      <c r="B13" s="18">
        <f>B11+B12</f>
        <v>45095788414.022156</v>
      </c>
    </row>
    <row r="14" spans="1:2" x14ac:dyDescent="0.25">
      <c r="A14" s="19" t="s">
        <v>65</v>
      </c>
      <c r="B14" s="24">
        <f>B13/Assumptions!B31</f>
        <v>62.97414944005328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6782076083.888173</v>
      </c>
    </row>
    <row r="18" spans="1:2" x14ac:dyDescent="0.25">
      <c r="A18" t="s">
        <v>60</v>
      </c>
      <c r="B18" s="18">
        <f>B17*Assumptions!B13</f>
        <v>135641521677.76346</v>
      </c>
    </row>
    <row r="19" spans="1:2" x14ac:dyDescent="0.25">
      <c r="A19" t="s">
        <v>61</v>
      </c>
      <c r="B19" s="18">
        <f>B18/(1+Assumptions!B26)^(5-0.5*Assumptions!B32)</f>
        <v>91509200682.80113</v>
      </c>
    </row>
    <row r="20" spans="1:2" x14ac:dyDescent="0.25">
      <c r="A20" t="s">
        <v>62</v>
      </c>
      <c r="B20" s="18">
        <f>Forecast!B17+B19</f>
        <v>112286504605.83572</v>
      </c>
    </row>
    <row r="21" spans="1:2" x14ac:dyDescent="0.25">
      <c r="A21" t="s">
        <v>63</v>
      </c>
      <c r="B21" s="18">
        <f>-Assumptions!B30</f>
        <v>-15081000000</v>
      </c>
    </row>
    <row r="22" spans="1:2" x14ac:dyDescent="0.25">
      <c r="A22" t="s">
        <v>64</v>
      </c>
      <c r="B22" s="18">
        <f>B20+B21</f>
        <v>97205504605.83572</v>
      </c>
    </row>
    <row r="23" spans="1:2" x14ac:dyDescent="0.25">
      <c r="A23" s="19" t="s">
        <v>65</v>
      </c>
      <c r="B23" s="25">
        <f>B22/Assumptions!B31</f>
        <v>135.74291943281068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211.81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62.97414944005328</v>
      </c>
    </row>
    <row r="29" spans="1:2" x14ac:dyDescent="0.25">
      <c r="A29" s="19" t="s">
        <v>73</v>
      </c>
      <c r="B29" s="12">
        <f>B28/B26-1</f>
        <v>-0.7026856643215462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0.0714</v>
      </c>
      <c r="B5" s="31">
        <v>85.00733363456173</v>
      </c>
      <c r="C5" s="31">
        <v>85.38071858218505</v>
      </c>
      <c r="D5" s="31">
        <v>85.75410352980835</v>
      </c>
      <c r="E5" s="31">
        <v>86.12748847743165</v>
      </c>
      <c r="F5" s="31">
        <v>86.50087342505498</v>
      </c>
    </row>
    <row r="6" spans="1:6" x14ac:dyDescent="0.25">
      <c r="A6" s="30">
        <v>0.0814</v>
      </c>
      <c r="B6" s="31">
        <v>72.3336012830111</v>
      </c>
      <c r="C6" s="31">
        <v>72.6477059278511</v>
      </c>
      <c r="D6" s="31">
        <v>72.96181057269108</v>
      </c>
      <c r="E6" s="31">
        <v>73.27591521753108</v>
      </c>
      <c r="F6" s="31">
        <v>73.59001986237105</v>
      </c>
    </row>
    <row r="7" spans="1:6" x14ac:dyDescent="0.25">
      <c r="A7" s="30">
        <v>0.0914</v>
      </c>
      <c r="B7" s="31">
        <v>62.43743201954525</v>
      </c>
      <c r="C7" s="31">
        <v>62.70582023262664</v>
      </c>
      <c r="D7" s="32">
        <v>62.97420844570804</v>
      </c>
      <c r="E7" s="31">
        <v>63.24259665878944</v>
      </c>
      <c r="F7" s="31">
        <v>63.51098487187083</v>
      </c>
    </row>
    <row r="8" spans="1:6" x14ac:dyDescent="0.25">
      <c r="A8" s="30">
        <v>0.1014</v>
      </c>
      <c r="B8" s="31">
        <v>54.496707125884</v>
      </c>
      <c r="C8" s="31">
        <v>54.728898791756826</v>
      </c>
      <c r="D8" s="31">
        <v>54.961090457629645</v>
      </c>
      <c r="E8" s="31">
        <v>55.19328212350245</v>
      </c>
      <c r="F8" s="31">
        <v>55.425473789375275</v>
      </c>
    </row>
    <row r="9" spans="1:6" x14ac:dyDescent="0.25">
      <c r="A9" s="30">
        <v>0.1114</v>
      </c>
      <c r="B9" s="31">
        <v>47.984527406879955</v>
      </c>
      <c r="C9" s="31">
        <v>48.18745235808406</v>
      </c>
      <c r="D9" s="31">
        <v>48.39037730928815</v>
      </c>
      <c r="E9" s="31">
        <v>48.593302260492266</v>
      </c>
      <c r="F9" s="31">
        <v>48.796227211696355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24568000000</v>
      </c>
      <c r="C5" s="18">
        <v>23875000000</v>
      </c>
      <c r="D5" s="18">
        <v>23890000000</v>
      </c>
      <c r="E5" s="18">
        <v>26643000000</v>
      </c>
      <c r="F5" s="8" t="s">
        <v>84</v>
      </c>
    </row>
    <row r="6" spans="1:6" x14ac:dyDescent="0.25">
      <c r="A6" t="s">
        <v>44</v>
      </c>
      <c r="B6" s="18">
        <v>4690000000</v>
      </c>
      <c r="C6" s="18">
        <v>4863000000</v>
      </c>
      <c r="D6" s="18">
        <v>5202000000</v>
      </c>
      <c r="E6" s="18">
        <v>7536000000</v>
      </c>
      <c r="F6" s="8" t="s">
        <v>85</v>
      </c>
    </row>
    <row r="7" spans="1:6" x14ac:dyDescent="0.25">
      <c r="A7" t="s">
        <v>86</v>
      </c>
      <c r="B7" s="18">
        <v>2447000000</v>
      </c>
      <c r="C7" s="18">
        <v>2352000000</v>
      </c>
      <c r="D7" s="18">
        <v>2166000000</v>
      </c>
      <c r="E7" s="18">
        <v>2132000000</v>
      </c>
      <c r="F7" s="8" t="s">
        <v>87</v>
      </c>
    </row>
    <row r="8" spans="1:6" x14ac:dyDescent="0.25">
      <c r="A8" t="s">
        <v>88</v>
      </c>
      <c r="B8" s="18">
        <v>1156000000</v>
      </c>
      <c r="C8" s="18">
        <v>1392000000</v>
      </c>
      <c r="D8" s="18">
        <v>1383000000</v>
      </c>
      <c r="E8" s="18">
        <v>1118000000</v>
      </c>
      <c r="F8" s="8" t="s">
        <v>89</v>
      </c>
    </row>
    <row r="9" spans="1:6" x14ac:dyDescent="0.25">
      <c r="A9" t="s">
        <v>90</v>
      </c>
      <c r="B9" s="18">
        <v>719000000</v>
      </c>
      <c r="C9" s="18">
        <v>198000000</v>
      </c>
      <c r="D9" s="18">
        <v>470000000</v>
      </c>
      <c r="E9" s="18">
        <v>1413000000</v>
      </c>
      <c r="F9" s="8" t="s">
        <v>91</v>
      </c>
    </row>
    <row r="10" spans="1:6" x14ac:dyDescent="0.25">
      <c r="A10" t="s">
        <v>92</v>
      </c>
      <c r="B10" s="18">
        <v>19696000000</v>
      </c>
      <c r="C10" s="18">
        <v>17146000000</v>
      </c>
      <c r="D10" s="18">
        <v>19536000000</v>
      </c>
      <c r="E10" s="18">
        <v>20616000000</v>
      </c>
      <c r="F10" s="8" t="s">
        <v>93</v>
      </c>
    </row>
    <row r="11" spans="1:6" x14ac:dyDescent="0.25">
      <c r="A11" t="s">
        <v>94</v>
      </c>
      <c r="B11" s="18">
        <v>4615000000</v>
      </c>
      <c r="C11" s="18">
        <v>2078000000</v>
      </c>
      <c r="D11" s="18">
        <v>5864000000</v>
      </c>
      <c r="E11" s="18">
        <v>5995000000</v>
      </c>
      <c r="F11" s="8" t="s">
        <v>95</v>
      </c>
    </row>
    <row r="12" spans="1:6" x14ac:dyDescent="0.25">
      <c r="A12" t="s">
        <v>32</v>
      </c>
      <c r="B12" s="34">
        <v>716100000</v>
      </c>
      <c r="C12" s="34">
        <v>737200000</v>
      </c>
      <c r="D12" s="34">
        <v>743100000</v>
      </c>
      <c r="E12" s="34">
        <v>737100000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