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<sst xmlns="http://schemas.openxmlformats.org/spreadsheetml/2006/main" count="112" uniqueCount="100">
  <si>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DiaSorin S.p.A. (DIA.MI)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</si>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</sst>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-0.042449005814823804</v>
      </c>
    </row>
    <row r="7" spans="1:2" x14ac:dyDescent="0.25">
      <c r="A7" t="s">
        <v>5</v>
      </c>
      <c r="B7" s="6">
        <v>0.2330105095619202</v>
      </c>
    </row>
    <row r="8" spans="1:2" x14ac:dyDescent="0.25">
      <c r="A8" t="s">
        <v>6</v>
      </c>
      <c r="B8" s="6">
        <v>0.24589807986983808</v>
      </c>
    </row>
    <row r="9" spans="1:2" x14ac:dyDescent="0.25">
      <c r="A9" t="s">
        <v>7</v>
      </c>
      <c r="B9" s="6">
        <v>0.11199681280833768</v>
      </c>
    </row>
    <row r="10" spans="1:2" x14ac:dyDescent="0.25">
      <c r="A10" t="s">
        <v>8</v>
      </c>
      <c r="B10" s="6">
        <v>0.09958613142716391</v>
      </c>
    </row>
    <row r="11" spans="1:2" x14ac:dyDescent="0.25">
      <c r="A11" t="s">
        <v>9</v>
      </c>
      <c r="B11" s="6">
        <v>-0.424859607168767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10.987503262847778</v>
      </c>
    </row>
    <row r="14" spans="1:3" x14ac:dyDescent="0.25">
      <c r="A14" t="s">
        <v>12</v>
      </c>
      <c r="B14" s="6">
        <v>0.11377823851342085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0.79766</v>
      </c>
      <c r="C19" s="8" t="s">
        <v>19</v>
      </c>
    </row>
    <row r="20" spans="1:2" x14ac:dyDescent="0.25">
      <c r="A20" t="s">
        <v>20</v>
      </c>
      <c r="B20" s="10">
        <f>B17+B19*B18</f>
        <v>0.09384790000000001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3788283648</v>
      </c>
    </row>
    <row r="23" spans="1:2" x14ac:dyDescent="0.25">
      <c r="A23" t="s">
        <v>24</v>
      </c>
      <c r="B23" s="11">
        <v>791165000</v>
      </c>
    </row>
    <row r="24" spans="1:2" x14ac:dyDescent="0.25">
      <c r="A24" t="s">
        <v>25</v>
      </c>
      <c r="B24" s="10">
        <f>B22/(B22+B23)</f>
        <v>0.8272357524206482</v>
      </c>
    </row>
    <row r="25" spans="1:2" x14ac:dyDescent="0.25">
      <c r="A25" t="s">
        <v>26</v>
      </c>
      <c r="B25" s="10">
        <f>1-B24</f>
        <v>0.17276424757935183</v>
      </c>
    </row>
    <row r="26" spans="1:2" x14ac:dyDescent="0.25">
      <c r="A26" t="s">
        <v>27</v>
      </c>
      <c r="B26" s="12">
        <f>B24*B20+B25*B21*(1-B8)</f>
        <v>0.08310617590443391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1195055000</v>
      </c>
      <c r="C29" s="8" t="s">
        <v>30</v>
      </c>
    </row>
    <row r="30" spans="1:2" x14ac:dyDescent="0.25">
      <c r="A30" t="s">
        <v>31</v>
      </c>
      <c r="B30" s="11">
        <v>582677000</v>
      </c>
    </row>
    <row r="31" spans="1:2" x14ac:dyDescent="0.25">
      <c r="A31" t="s">
        <v>32</v>
      </c>
      <c r="B31" s="13">
        <v>53000667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-0.042449005814823804</v>
      </c>
      <c r="C5" s="10">
        <f>Assumptions!B6</f>
        <v>-0.042449005814823804</v>
      </c>
      <c r="D5" s="10">
        <f>Assumptions!B6</f>
        <v>-0.042449005814823804</v>
      </c>
      <c r="E5" s="10">
        <f>Assumptions!B6</f>
        <v>-0.042449005814823804</v>
      </c>
      <c r="F5" s="10">
        <f>Assumptions!B6</f>
        <v>-0.042449005814823804</v>
      </c>
    </row>
    <row r="6" spans="1:6" x14ac:dyDescent="0.25">
      <c r="A6" t="s">
        <v>43</v>
      </c>
      <c r="B6" s="18">
        <f>Assumptions!B29*(1+B5)</f>
        <v>1144326103.3559659</v>
      </c>
      <c r="C6" s="18">
        <f>B6*(1+C5)</f>
        <v>1095750597.940554</v>
      </c>
      <c r="D6" s="18">
        <f>C6*(1+D5)</f>
        <v>1049237074.4369787</v>
      </c>
      <c r="E6" s="18">
        <f>D6*(1+E5)</f>
        <v>1004698003.7630746</v>
      </c>
      <c r="F6" s="18">
        <f>E6*(1+F5)</f>
        <v>962049572.359194</v>
      </c>
    </row>
    <row r="7" spans="1:6" x14ac:dyDescent="0.25">
      <c r="A7" t="s">
        <v>5</v>
      </c>
      <c r="B7" s="10">
        <f>Assumptions!B7</f>
        <v>0.2330105095619202</v>
      </c>
      <c r="C7" s="10">
        <f>Assumptions!B7</f>
        <v>0.2330105095619202</v>
      </c>
      <c r="D7" s="10">
        <f>Assumptions!B7</f>
        <v>0.2330105095619202</v>
      </c>
      <c r="E7" s="10">
        <f>Assumptions!B7</f>
        <v>0.2330105095619202</v>
      </c>
      <c r="F7" s="10">
        <f>Assumptions!B7</f>
        <v>0.2330105095619202</v>
      </c>
    </row>
    <row r="8" spans="1:6" x14ac:dyDescent="0.25">
      <c r="A8" t="s">
        <v>44</v>
      </c>
      <c r="B8" s="18">
        <f>B6*B7</f>
        <v>266640008.44798017</v>
      </c>
      <c r="C8" s="18">
        <f>C6*C7</f>
        <v>255321405.17890722</v>
      </c>
      <c r="D8" s="18">
        <f>D6*D7</f>
        <v>244483265.3658188</v>
      </c>
      <c r="E8" s="18">
        <f>E6*E7</f>
        <v>234105193.81267804</v>
      </c>
      <c r="F8" s="18">
        <f>F6*F7</f>
        <v>224167661.07924324</v>
      </c>
    </row>
    <row r="9" spans="1:6" x14ac:dyDescent="0.25">
      <c r="A9" t="s">
        <v>45</v>
      </c>
      <c r="B9" s="18">
        <f>B8*(1-Assumptions!B8)</f>
        <v>201073742.35414445</v>
      </c>
      <c r="C9" s="18">
        <f>C8*(1-Assumptions!B8)</f>
        <v>192538361.895745</v>
      </c>
      <c r="D9" s="18">
        <f>D8*(1-Assumptions!B8)</f>
        <v>184365299.85205588</v>
      </c>
      <c r="E9" s="18">
        <f>E8*(1-Assumptions!B8)</f>
        <v>176539176.16658422</v>
      </c>
      <c r="F9" s="18">
        <f>F8*(1-Assumptions!B8)</f>
        <v>169045263.6509447</v>
      </c>
    </row>
    <row r="10" spans="1:6" x14ac:dyDescent="0.25">
      <c r="A10" t="s">
        <v>46</v>
      </c>
      <c r="B10" s="18">
        <f>B6*Assumptions!B9</f>
        <v>128160876.38925257</v>
      </c>
      <c r="C10" s="18">
        <f>C6*Assumptions!B9</f>
        <v>122720574.6021723</v>
      </c>
      <c r="D10" s="18">
        <f>D6*Assumptions!B9</f>
        <v>117511208.21728617</v>
      </c>
      <c r="E10" s="18">
        <f>E6*Assumptions!B9</f>
        <v>112522974.25636362</v>
      </c>
      <c r="F10" s="18">
        <f>F6*Assumptions!B9</f>
        <v>107746485.86785397</v>
      </c>
    </row>
    <row r="11" spans="1:6" x14ac:dyDescent="0.25">
      <c r="A11" t="s">
        <v>47</v>
      </c>
      <c r="B11" s="18">
        <f>-B6*Assumptions!B10</f>
        <v>-113959009.72434157</v>
      </c>
      <c r="C11" s="18">
        <f>-C6*Assumptions!B10</f>
        <v>-109121563.05790144</v>
      </c>
      <c r="D11" s="18">
        <f>-D6*Assumptions!B10</f>
        <v>-104489461.19313392</v>
      </c>
      <c r="E11" s="18">
        <f>-E6*Assumptions!B10</f>
        <v>-100053987.44735877</v>
      </c>
      <c r="F11" s="18">
        <f>-F6*Assumptions!B10</f>
        <v>-95806795.15240954</v>
      </c>
    </row>
    <row r="12" spans="1:6" x14ac:dyDescent="0.25">
      <c r="A12" t="s">
        <v>48</v>
      </c>
      <c r="B12" s="18">
        <f>-(B6-Assumptions!B29)*Assumptions!B11</f>
        <v>-21552659.10028933</v>
      </c>
      <c r="C12" s="18">
        <f>-(C6-B6)*Assumptions!B11</f>
        <v>-20637770.14881623</v>
      </c>
      <c r="D12" s="18">
        <f>-(D6-C6)*Assumptions!B11</f>
        <v>-19761717.32376417</v>
      </c>
      <c r="E12" s="18">
        <f>-(E6-D6)*Assumptions!B11</f>
        <v>-18922852.07017683</v>
      </c>
      <c r="F12" s="18">
        <f>-(F6-E6)*Assumptions!B11</f>
        <v>-18119595.812616814</v>
      </c>
    </row>
    <row r="13" spans="1:6" x14ac:dyDescent="0.25">
      <c r="A13" s="19" t="s">
        <v>49</v>
      </c>
      <c r="B13" s="20">
        <f>B9+B10+B11+B12</f>
        <v>193722949.91876608</v>
      </c>
      <c r="C13" s="20">
        <f>C9+C10+C11+C12</f>
        <v>185499603.29119962</v>
      </c>
      <c r="D13" s="20">
        <f>D9+D10+D11+D12</f>
        <v>177625329.55244392</v>
      </c>
      <c r="E13" s="20">
        <f>E9+E10+E11+E12</f>
        <v>170085310.9054122</v>
      </c>
      <c r="F13" s="20">
        <f>F9+F10+F11+F12</f>
        <v>162865358.55377233</v>
      </c>
    </row>
    <row r="14" spans="1:6" x14ac:dyDescent="0.25">
      <c r="A14" t="s">
        <v>50</v>
      </c>
      <c r="B14" s="21">
        <f>1/(1+Assumptions!$B$26)^(1-0.5*Assumptions!$B$32)</f>
        <v>0.9608696675041666</v>
      </c>
      <c r="C14" s="21">
        <f>1/(1+Assumptions!$B$26)^(2-0.5*Assumptions!$B$32)</f>
        <v>0.8871426355793833</v>
      </c>
      <c r="D14" s="21">
        <f>1/(1+Assumptions!$B$26)^(3-0.5*Assumptions!$B$32)</f>
        <v>0.8190726406287788</v>
      </c>
      <c r="E14" s="21">
        <f>1/(1+Assumptions!$B$26)^(4-0.5*Assumptions!$B$32)</f>
        <v>0.7562256211352714</v>
      </c>
      <c r="F14" s="21">
        <f>1/(1+Assumptions!$B$26)^(5-0.5*Assumptions!$B$32)</f>
        <v>0.6982008208971711</v>
      </c>
    </row>
    <row r="15" spans="1:6" x14ac:dyDescent="0.25">
      <c r="A15" s="19" t="s">
        <v>51</v>
      </c>
      <c r="B15" s="20">
        <f>B13*B14</f>
        <v>186142506.47637108</v>
      </c>
      <c r="C15" s="20">
        <f>C13*C14</f>
        <v>164564606.9626849</v>
      </c>
      <c r="D15" s="20">
        <f>D13*D14</f>
        <v>145488047.71907732</v>
      </c>
      <c r="E15" s="20">
        <f>E13*E14</f>
        <v>128622869.88543108</v>
      </c>
      <c r="F15" s="20">
        <f>F13*F14</f>
        <v>113712727.03795594</v>
      </c>
    </row>
    <row r="17" spans="1:2" x14ac:dyDescent="0.25">
      <c r="A17" s="22" t="s">
        <v>52</v>
      </c>
      <c r="B17" s="23">
        <f>SUM(B15:F15)</f>
        <v>738530758.0815203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162865358.55377233</v>
      </c>
    </row>
    <row r="5" spans="1:2" x14ac:dyDescent="0.25">
      <c r="A5" t="s">
        <v>56</v>
      </c>
      <c r="B5" s="18">
        <f>IF(Assumptions!$B$33=0,B4,B4-Forecast!F11-Forecast!F10-Forecast!F12)</f>
        <v>203707449.16238883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0.2197256727353104</v>
      </c>
    </row>
    <row r="7" spans="1:2" x14ac:dyDescent="0.25">
      <c r="A7" t="s">
        <v>58</v>
      </c>
      <c r="B7" s="18">
        <f>-MAX(Forecast!F9,0)*B6</f>
        <v>-44759756.30839993</v>
      </c>
    </row>
    <row r="8" spans="1:2" x14ac:dyDescent="0.25">
      <c r="A8" t="s">
        <v>59</v>
      </c>
      <c r="B8" s="18">
        <f>IF(OR(Assumptions!$B$33=0,Assumptions!B12&lt;=0),B5,MAX(B5+B7,0))</f>
        <v>158947692.8539889</v>
      </c>
    </row>
    <row r="9" spans="1:2" x14ac:dyDescent="0.25">
      <c r="A9" t="s">
        <v>60</v>
      </c>
      <c r="B9" s="18">
        <f>B8*(1+Assumptions!B12)/(Assumptions!B26-Assumptions!B12)</f>
        <v>2803856606.2804103</v>
      </c>
    </row>
    <row r="10" spans="1:2" x14ac:dyDescent="0.25">
      <c r="A10" t="s">
        <v>61</v>
      </c>
      <c r="B10" s="18">
        <f>B9/(1+Assumptions!B26)^(5-0.5*Assumptions!B32)</f>
        <v>1957654984.1829386</v>
      </c>
    </row>
    <row r="11" spans="1:2" x14ac:dyDescent="0.25">
      <c r="A11" t="s">
        <v>62</v>
      </c>
      <c r="B11" s="18">
        <f>Forecast!B17+B10</f>
        <v>2696185742.2644587</v>
      </c>
    </row>
    <row r="12" spans="1:2" x14ac:dyDescent="0.25">
      <c r="A12" t="s">
        <v>63</v>
      </c>
      <c r="B12" s="18">
        <f>-Assumptions!B30</f>
        <v>-582677000</v>
      </c>
    </row>
    <row r="13" spans="1:2" x14ac:dyDescent="0.25">
      <c r="A13" t="s">
        <v>64</v>
      </c>
      <c r="B13" s="18">
        <f>B11+B12</f>
        <v>2113508742.2644587</v>
      </c>
    </row>
    <row r="14" spans="1:2" x14ac:dyDescent="0.25">
      <c r="A14" s="19" t="s">
        <v>65</v>
      </c>
      <c r="B14" s="24">
        <f>B13/Assumptions!B31</f>
        <v>39.87702159039732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331914146.9470972</v>
      </c>
    </row>
    <row r="18" spans="1:2" x14ac:dyDescent="0.25">
      <c r="A18" t="s">
        <v>60</v>
      </c>
      <c r="B18" s="18">
        <f>B17*Assumptions!B13</f>
        <v>3646907772.566567</v>
      </c>
    </row>
    <row r="19" spans="1:2" x14ac:dyDescent="0.25">
      <c r="A19" t="s">
        <v>61</v>
      </c>
      <c r="B19" s="18">
        <f>B18/(1+Assumptions!B26)^(5-0.5*Assumptions!B32)</f>
        <v>2546274000.5422506</v>
      </c>
    </row>
    <row r="20" spans="1:2" x14ac:dyDescent="0.25">
      <c r="A20" t="s">
        <v>62</v>
      </c>
      <c r="B20" s="18">
        <f>Forecast!B17+B19</f>
        <v>3284804758.6237707</v>
      </c>
    </row>
    <row r="21" spans="1:2" x14ac:dyDescent="0.25">
      <c r="A21" t="s">
        <v>63</v>
      </c>
      <c r="B21" s="18">
        <f>-Assumptions!B30</f>
        <v>-582677000</v>
      </c>
    </row>
    <row r="22" spans="1:2" x14ac:dyDescent="0.25">
      <c r="A22" t="s">
        <v>64</v>
      </c>
      <c r="B22" s="18">
        <f>B20+B21</f>
        <v>2702127758.6237707</v>
      </c>
    </row>
    <row r="23" spans="1:2" x14ac:dyDescent="0.25">
      <c r="A23" s="19" t="s">
        <v>65</v>
      </c>
      <c r="B23" s="25">
        <f>B22/Assumptions!B31</f>
        <v>50.98290100054346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39.87702159039732</v>
      </c>
    </row>
    <row r="29" spans="1:2" x14ac:dyDescent="0.25">
      <c r="A29" s="19" t="s">
        <v>73</v>
      </c>
      <c r="B29" s="12">
        <f>B28/B26-1</f>
        <v>-0.4795481389924652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0.063106</v>
      </c>
      <c r="B5" s="31">
        <v>57.000163073387405</v>
      </c>
      <c r="C5" s="31">
        <v>60.45999809782079</v>
      </c>
      <c r="D5" s="31">
        <v>64.79412840902151</v>
      </c>
      <c r="E5" s="31">
        <v>70.39868852343707</v>
      </c>
      <c r="F5" s="31">
        <v>77.95169904336674</v>
      </c>
    </row>
    <row r="6" spans="1:6" x14ac:dyDescent="0.25">
      <c r="A6" s="30">
        <v>0.073106</v>
      </c>
      <c r="B6" s="31">
        <v>45.66712797459282</v>
      </c>
      <c r="C6" s="31">
        <v>47.529167068565215</v>
      </c>
      <c r="D6" s="31">
        <v>49.752717107914044</v>
      </c>
      <c r="E6" s="31">
        <v>52.46357645436733</v>
      </c>
      <c r="F6" s="31">
        <v>55.85356895735997</v>
      </c>
    </row>
    <row r="7" spans="1:6" x14ac:dyDescent="0.25">
      <c r="A7" s="30">
        <v>0.083106</v>
      </c>
      <c r="B7" s="31">
        <v>37.66134622564296</v>
      </c>
      <c r="C7" s="31">
        <v>38.69081787193165</v>
      </c>
      <c r="D7" s="32">
        <v>39.87716550616382</v>
      </c>
      <c r="E7" s="31">
        <v>41.26469937236379</v>
      </c>
      <c r="F7" s="31">
        <v>42.916151634492714</v>
      </c>
    </row>
    <row r="8" spans="1:6" x14ac:dyDescent="0.25">
      <c r="A8" s="30">
        <v>0.093106</v>
      </c>
      <c r="B8" s="31">
        <v>31.70475985665753</v>
      </c>
      <c r="C8" s="31">
        <v>32.26569417850325</v>
      </c>
      <c r="D8" s="31">
        <v>32.89237658632543</v>
      </c>
      <c r="E8" s="31">
        <v>33.60043509155955</v>
      </c>
      <c r="F8" s="31">
        <v>34.410876844262056</v>
      </c>
    </row>
    <row r="9" spans="1:6" x14ac:dyDescent="0.25">
      <c r="A9" s="30">
        <v>0.103106</v>
      </c>
      <c r="B9" s="31">
        <v>27.099555476516535</v>
      </c>
      <c r="C9" s="31">
        <v>27.38278258616912</v>
      </c>
      <c r="D9" s="31">
        <v>27.68836647675301</v>
      </c>
      <c r="E9" s="31">
        <v>28.02089434650051</v>
      </c>
      <c r="F9" s="31">
        <v>28.38630046974066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1195055000</v>
      </c>
      <c r="C5" s="18">
        <v>1185427000</v>
      </c>
      <c r="D5" s="18">
        <v>1148210000</v>
      </c>
      <c r="E5" s="18">
        <v>1361138000</v>
      </c>
      <c r="F5" s="8" t="s">
        <v>84</v>
      </c>
    </row>
    <row r="6" spans="1:6" x14ac:dyDescent="0.25">
      <c r="A6" t="s">
        <v>44</v>
      </c>
      <c r="B6" s="18">
        <v>269566000</v>
      </c>
      <c r="C6" s="18">
        <v>265046000</v>
      </c>
      <c r="D6" s="18">
        <v>237847000</v>
      </c>
      <c r="E6" s="18">
        <v>375322000</v>
      </c>
      <c r="F6" s="8" t="s">
        <v>85</v>
      </c>
    </row>
    <row r="7" spans="1:6" x14ac:dyDescent="0.25">
      <c r="A7" t="s">
        <v>86</v>
      </c>
      <c r="B7" s="18">
        <v>128246000</v>
      </c>
      <c r="C7" s="18">
        <v>129041000</v>
      </c>
      <c r="D7" s="18">
        <v>136884000</v>
      </c>
      <c r="E7" s="18">
        <v>153267000</v>
      </c>
      <c r="F7" s="8" t="s">
        <v>87</v>
      </c>
    </row>
    <row r="8" spans="1:6" x14ac:dyDescent="0.25">
      <c r="A8" t="s">
        <v>88</v>
      </c>
      <c r="B8" s="18">
        <v>137681000</v>
      </c>
      <c r="C8" s="18">
        <v>119716000</v>
      </c>
      <c r="D8" s="18">
        <v>113240000</v>
      </c>
      <c r="E8" s="18">
        <v>113686000</v>
      </c>
      <c r="F8" s="8" t="s">
        <v>89</v>
      </c>
    </row>
    <row r="9" spans="1:6" x14ac:dyDescent="0.25">
      <c r="A9" t="s">
        <v>90</v>
      </c>
      <c r="B9" s="18">
        <v>-55030000</v>
      </c>
      <c r="C9" s="18">
        <v>-15812000</v>
      </c>
      <c r="D9" s="18">
        <v>1324000</v>
      </c>
      <c r="E9" s="18">
        <v>27413000</v>
      </c>
      <c r="F9" s="8" t="s">
        <v>91</v>
      </c>
    </row>
    <row r="10" spans="1:6" x14ac:dyDescent="0.25">
      <c r="A10" t="s">
        <v>92</v>
      </c>
      <c r="B10" s="18">
        <v>791165000</v>
      </c>
      <c r="C10" s="18">
        <v>1014189000</v>
      </c>
      <c r="D10" s="18">
        <v>1192654000</v>
      </c>
      <c r="E10" s="18">
        <v>1351985000</v>
      </c>
      <c r="F10" s="8" t="s">
        <v>93</v>
      </c>
    </row>
    <row r="11" spans="1:6" x14ac:dyDescent="0.25">
      <c r="A11" t="s">
        <v>94</v>
      </c>
      <c r="B11" s="18">
        <v>208488000</v>
      </c>
      <c r="C11" s="18">
        <v>393268000</v>
      </c>
      <c r="D11" s="18">
        <v>403389000</v>
      </c>
      <c r="E11" s="18">
        <v>413218000</v>
      </c>
      <c r="F11" s="8" t="s">
        <v>95</v>
      </c>
    </row>
    <row r="12" spans="1:6" x14ac:dyDescent="0.25">
      <c r="A12" t="s">
        <v>32</v>
      </c>
      <c r="B12" s="34">
        <v>53000667</v>
      </c>
      <c r="C12" s="34">
        <v>53891959</v>
      </c>
      <c r="D12" s="34">
        <v>55745935</v>
      </c>
      <c r="E12" s="34">
        <v>58049880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