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<sst xmlns="http://schemas.openxmlformats.org/spreadsheetml/2006/main" count="111" uniqueCount="99">
  <si>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The Walt Disney Company (DIS)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</si>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</sst>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0.045093923223104904</v>
      </c>
    </row>
    <row r="7" spans="1:2" x14ac:dyDescent="0.25">
      <c r="A7" t="s">
        <v>5</v>
      </c>
      <c r="B7" s="6">
        <v>0.11497059895000447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0.05845799325016235</v>
      </c>
    </row>
    <row r="10" spans="1:2" x14ac:dyDescent="0.25">
      <c r="A10" t="s">
        <v>8</v>
      </c>
      <c r="B10" s="6">
        <v>0.06496622607076996</v>
      </c>
    </row>
    <row r="11" spans="1:2" x14ac:dyDescent="0.25">
      <c r="A11" t="s">
        <v>9</v>
      </c>
      <c r="B11" s="6">
        <v>0.14033942558746737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11.298723417475728</v>
      </c>
    </row>
    <row r="14" spans="1:3" x14ac:dyDescent="0.25">
      <c r="A14" t="s">
        <v>12</v>
      </c>
      <c r="B14" s="6">
        <v>0.10377648130071312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1.27403</v>
      </c>
      <c r="C19" s="8" t="s">
        <v>19</v>
      </c>
    </row>
    <row r="20" spans="1:2" x14ac:dyDescent="0.25">
      <c r="A20" t="s">
        <v>20</v>
      </c>
      <c r="B20" s="10">
        <f>B17+B19*B18</f>
        <v>0.12005165000000001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177278943232</v>
      </c>
    </row>
    <row r="23" spans="1:2" x14ac:dyDescent="0.25">
      <c r="A23" t="s">
        <v>24</v>
      </c>
      <c r="B23" s="11">
        <v>44877000000</v>
      </c>
    </row>
    <row r="24" spans="1:2" x14ac:dyDescent="0.25">
      <c r="A24" t="s">
        <v>25</v>
      </c>
      <c r="B24" s="10">
        <f>B22/(B22+B23)</f>
        <v>0.7979932503847784</v>
      </c>
    </row>
    <row r="25" spans="1:2" x14ac:dyDescent="0.25">
      <c r="A25" t="s">
        <v>26</v>
      </c>
      <c r="B25" s="10">
        <f>1-B24</f>
        <v>0.20200674961522158</v>
      </c>
    </row>
    <row r="26" spans="1:2" x14ac:dyDescent="0.25">
      <c r="A26" t="s">
        <v>27</v>
      </c>
      <c r="B26" s="12">
        <f>B24*B20+B25*B21*(1-B8)</f>
        <v>0.10377648130071312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94425000000</v>
      </c>
      <c r="C29" s="8" t="s">
        <v>30</v>
      </c>
    </row>
    <row r="30" spans="1:2" x14ac:dyDescent="0.25">
      <c r="A30" t="s">
        <v>31</v>
      </c>
      <c r="B30" s="11">
        <v>39182000000</v>
      </c>
    </row>
    <row r="31" spans="1:2" x14ac:dyDescent="0.25">
      <c r="A31" t="s">
        <v>32</v>
      </c>
      <c r="B31" s="13">
        <v>1811000000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0.045093923223104904</v>
      </c>
      <c r="C5" s="10">
        <f>Assumptions!B6</f>
        <v>0.045093923223104904</v>
      </c>
      <c r="D5" s="10">
        <f>Assumptions!B6</f>
        <v>0.045093923223104904</v>
      </c>
      <c r="E5" s="10">
        <f>Assumptions!B6</f>
        <v>0.045093923223104904</v>
      </c>
      <c r="F5" s="10">
        <f>Assumptions!B6</f>
        <v>0.045093923223104904</v>
      </c>
    </row>
    <row r="6" spans="1:6" x14ac:dyDescent="0.25">
      <c r="A6" t="s">
        <v>43</v>
      </c>
      <c r="B6" s="18">
        <f>Assumptions!B29*(1+B5)</f>
        <v>98682993700.34167</v>
      </c>
      <c r="C6" s="18">
        <f>B6*(1+C5)</f>
        <v>103132997041.69102</v>
      </c>
      <c r="D6" s="18">
        <f>C6*(1+D5)</f>
        <v>107783668492.05774</v>
      </c>
      <c r="E6" s="18">
        <f>D6*(1+E5)</f>
        <v>112644056963.74318</v>
      </c>
      <c r="F6" s="18">
        <f>E6*(1+F5)</f>
        <v>117723619420.00526</v>
      </c>
    </row>
    <row r="7" spans="1:6" x14ac:dyDescent="0.25">
      <c r="A7" t="s">
        <v>5</v>
      </c>
      <c r="B7" s="10">
        <f>Assumptions!B7</f>
        <v>0.11497059895000447</v>
      </c>
      <c r="C7" s="10">
        <f>Assumptions!B7</f>
        <v>0.11497059895000447</v>
      </c>
      <c r="D7" s="10">
        <f>Assumptions!B7</f>
        <v>0.11497059895000447</v>
      </c>
      <c r="E7" s="10">
        <f>Assumptions!B7</f>
        <v>0.11497059895000447</v>
      </c>
      <c r="F7" s="10">
        <f>Assumptions!B7</f>
        <v>0.11497059895000447</v>
      </c>
    </row>
    <row r="8" spans="1:6" x14ac:dyDescent="0.25">
      <c r="A8" t="s">
        <v>44</v>
      </c>
      <c r="B8" s="18">
        <f>B6*B7</f>
        <v>11345642891.9078</v>
      </c>
      <c r="C8" s="18">
        <f>C6*C7</f>
        <v>11857262441.392256</v>
      </c>
      <c r="D8" s="18">
        <f>D6*D7</f>
        <v>12391952923.560604</v>
      </c>
      <c r="E8" s="18">
        <f>E6*E7</f>
        <v>12950754697.279976</v>
      </c>
      <c r="F8" s="18">
        <f>F6*F7</f>
        <v>13534755035.280384</v>
      </c>
    </row>
    <row r="9" spans="1:6" x14ac:dyDescent="0.25">
      <c r="A9" t="s">
        <v>45</v>
      </c>
      <c r="B9" s="18">
        <f>B8*(1-Assumptions!B8)</f>
        <v>8963057884.607162</v>
      </c>
      <c r="C9" s="18">
        <f>C8*(1-Assumptions!B8)</f>
        <v>9367237328.699883</v>
      </c>
      <c r="D9" s="18">
        <f>D8*(1-Assumptions!B8)</f>
        <v>9789642809.612877</v>
      </c>
      <c r="E9" s="18">
        <f>E8*(1-Assumptions!B8)</f>
        <v>10231096210.851181</v>
      </c>
      <c r="F9" s="18">
        <f>F8*(1-Assumptions!B8)</f>
        <v>10692456477.871504</v>
      </c>
    </row>
    <row r="10" spans="1:6" x14ac:dyDescent="0.25">
      <c r="A10" t="s">
        <v>46</v>
      </c>
      <c r="B10" s="18">
        <f>B6*Assumptions!B9</f>
        <v>5768809779.640388</v>
      </c>
      <c r="C10" s="18">
        <f>C6*Assumptions!B9</f>
        <v>6028948044.932187</v>
      </c>
      <c r="D10" s="18">
        <f>D6*Assumptions!B9</f>
        <v>6300816965.186447</v>
      </c>
      <c r="E10" s="18">
        <f>E6*Assumptions!B9</f>
        <v>6584945521.657402</v>
      </c>
      <c r="F10" s="18">
        <f>F6*Assumptions!B9</f>
        <v>6881886549.439349</v>
      </c>
    </row>
    <row r="11" spans="1:6" x14ac:dyDescent="0.25">
      <c r="A11" t="s">
        <v>47</v>
      </c>
      <c r="B11" s="18">
        <f>-B6*Assumptions!B10</f>
        <v>-6411061678.076765</v>
      </c>
      <c r="C11" s="18">
        <f>-C6*Assumptions!B10</f>
        <v>-6700161601.166549</v>
      </c>
      <c r="D11" s="18">
        <f>-D6*Assumptions!B10</f>
        <v>-7002298173.991948</v>
      </c>
      <c r="E11" s="18">
        <f>-E6*Assumptions!B10</f>
        <v>-7318059270.235229</v>
      </c>
      <c r="F11" s="18">
        <f>-F6*Assumptions!B10</f>
        <v>-7648059273.109347</v>
      </c>
    </row>
    <row r="12" spans="1:6" x14ac:dyDescent="0.25">
      <c r="A12" t="s">
        <v>48</v>
      </c>
      <c r="B12" s="18">
        <f>-(B6-Assumptions!B29)*Assumptions!B11</f>
        <v>-597564390.0610054</v>
      </c>
      <c r="C12" s="18">
        <f>-(C6-B6)*Assumptions!B11</f>
        <v>-624510912.7872783</v>
      </c>
      <c r="D12" s="18">
        <f>-(D6-C6)*Assumptions!B11</f>
        <v>-652672559.9404985</v>
      </c>
      <c r="E12" s="18">
        <f>-(E6-D6)*Assumptions!B11</f>
        <v>-682104126.248283</v>
      </c>
      <c r="F12" s="18">
        <f>-(F6-E6)*Assumptions!B11</f>
        <v>-712862877.3474859</v>
      </c>
    </row>
    <row r="13" spans="1:6" x14ac:dyDescent="0.25">
      <c r="A13" s="19" t="s">
        <v>49</v>
      </c>
      <c r="B13" s="20">
        <f>B9+B10+B11+B12</f>
        <v>7723241596.10978</v>
      </c>
      <c r="C13" s="20">
        <f>C9+C10+C11+C12</f>
        <v>8071512859.678241</v>
      </c>
      <c r="D13" s="20">
        <f>D9+D10+D11+D12</f>
        <v>8435489040.8668785</v>
      </c>
      <c r="E13" s="20">
        <f>E9+E10+E11+E12</f>
        <v>8815878336.02507</v>
      </c>
      <c r="F13" s="20">
        <f>F9+F10+F11+F12</f>
        <v>9213420876.854017</v>
      </c>
    </row>
    <row r="14" spans="1:6" x14ac:dyDescent="0.25">
      <c r="A14" t="s">
        <v>50</v>
      </c>
      <c r="B14" s="21">
        <f>1/(1+Assumptions!$B$26)^(1-0.5*Assumptions!$B$32)</f>
        <v>0.9518300944042103</v>
      </c>
      <c r="C14" s="21">
        <f>1/(1+Assumptions!$B$26)^(2-0.5*Assumptions!$B$32)</f>
        <v>0.8623395320785907</v>
      </c>
      <c r="D14" s="21">
        <f>1/(1+Assumptions!$B$26)^(3-0.5*Assumptions!$B$32)</f>
        <v>0.781262825116904</v>
      </c>
      <c r="E14" s="21">
        <f>1/(1+Assumptions!$B$26)^(4-0.5*Assumptions!$B$32)</f>
        <v>0.707808907285511</v>
      </c>
      <c r="F14" s="21">
        <f>1/(1+Assumptions!$B$26)^(5-0.5*Assumptions!$B$32)</f>
        <v>0.6412610879798909</v>
      </c>
    </row>
    <row r="15" spans="1:6" x14ac:dyDescent="0.25">
      <c r="A15" s="19" t="s">
        <v>51</v>
      </c>
      <c r="B15" s="20">
        <f>B13*B14</f>
        <v>7351213777.531696</v>
      </c>
      <c r="C15" s="20">
        <f>C13*C14</f>
        <v>6960384622.581262</v>
      </c>
      <c r="D15" s="20">
        <f>D13*D14</f>
        <v>6590333999.310341</v>
      </c>
      <c r="E15" s="20">
        <f>E13*E14</f>
        <v>6239957211.783915</v>
      </c>
      <c r="F15" s="20">
        <f>F13*F14</f>
        <v>5908208295.508047</v>
      </c>
    </row>
    <row r="17" spans="1:2" x14ac:dyDescent="0.25">
      <c r="A17" s="22" t="s">
        <v>52</v>
      </c>
      <c r="B17" s="23">
        <f>SUM(B15:F15)</f>
        <v>33050097906.715263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9213420876.854017</v>
      </c>
    </row>
    <row r="5" spans="1:2" x14ac:dyDescent="0.25">
      <c r="A5" t="s">
        <v>56</v>
      </c>
      <c r="B5" s="18">
        <f>IF(Assumptions!$B$33=0,B4,B4-Forecast!F11-Forecast!F10-Forecast!F12)</f>
        <v>14359562223.711866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0.2409023671515466</v>
      </c>
    </row>
    <row r="7" spans="1:2" x14ac:dyDescent="0.25">
      <c r="A7" t="s">
        <v>58</v>
      </c>
      <c r="B7" s="18">
        <f>-MAX(Forecast!F9,0)*B6</f>
        <v>-3459252530.9521146</v>
      </c>
    </row>
    <row r="8" spans="1:2" x14ac:dyDescent="0.25">
      <c r="A8" t="s">
        <v>59</v>
      </c>
      <c r="B8" s="18">
        <f>IF(OR(Assumptions!$B$33=0,Assumptions!B12&lt;=0),B5,MAX(B5+B7,0))</f>
        <v>10900309692.759752</v>
      </c>
    </row>
    <row r="9" spans="1:2" x14ac:dyDescent="0.25">
      <c r="A9" t="s">
        <v>60</v>
      </c>
      <c r="B9" s="18">
        <f>B8*(1+Assumptions!B12)/(Assumptions!B26-Assumptions!B12)</f>
        <v>141829353769.03668</v>
      </c>
    </row>
    <row r="10" spans="1:2" x14ac:dyDescent="0.25">
      <c r="A10" t="s">
        <v>61</v>
      </c>
      <c r="B10" s="18">
        <f>B9/(1+Assumptions!B26)^(5-0.5*Assumptions!B32)</f>
        <v>90949645705.4173</v>
      </c>
    </row>
    <row r="11" spans="1:2" x14ac:dyDescent="0.25">
      <c r="A11" t="s">
        <v>62</v>
      </c>
      <c r="B11" s="18">
        <f>Forecast!B17+B10</f>
        <v>123999743612.13257</v>
      </c>
    </row>
    <row r="12" spans="1:2" x14ac:dyDescent="0.25">
      <c r="A12" t="s">
        <v>63</v>
      </c>
      <c r="B12" s="18">
        <f>-Assumptions!B30</f>
        <v>-39182000000</v>
      </c>
    </row>
    <row r="13" spans="1:2" x14ac:dyDescent="0.25">
      <c r="A13" t="s">
        <v>64</v>
      </c>
      <c r="B13" s="18">
        <f>B11+B12</f>
        <v>84817743612.13257</v>
      </c>
    </row>
    <row r="14" spans="1:2" x14ac:dyDescent="0.25">
      <c r="A14" s="19" t="s">
        <v>65</v>
      </c>
      <c r="B14" s="24">
        <f>B13/Assumptions!B31</f>
        <v>46.83475627395504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20416641584.719734</v>
      </c>
    </row>
    <row r="18" spans="1:2" x14ac:dyDescent="0.25">
      <c r="A18" t="s">
        <v>60</v>
      </c>
      <c r="B18" s="18">
        <f>B17*Assumptions!B13</f>
        <v>230681986379.4816</v>
      </c>
    </row>
    <row r="19" spans="1:2" x14ac:dyDescent="0.25">
      <c r="A19" t="s">
        <v>61</v>
      </c>
      <c r="B19" s="18">
        <f>B18/(1+Assumptions!B26)^(5-0.5*Assumptions!B32)</f>
        <v>147927381563.06876</v>
      </c>
    </row>
    <row r="20" spans="1:2" x14ac:dyDescent="0.25">
      <c r="A20" t="s">
        <v>62</v>
      </c>
      <c r="B20" s="18">
        <f>Forecast!B17+B19</f>
        <v>180977479469.78403</v>
      </c>
    </row>
    <row r="21" spans="1:2" x14ac:dyDescent="0.25">
      <c r="A21" t="s">
        <v>63</v>
      </c>
      <c r="B21" s="18">
        <f>-Assumptions!B30</f>
        <v>-39182000000</v>
      </c>
    </row>
    <row r="22" spans="1:2" x14ac:dyDescent="0.25">
      <c r="A22" t="s">
        <v>64</v>
      </c>
      <c r="B22" s="18">
        <f>B20+B21</f>
        <v>141795479469.78403</v>
      </c>
    </row>
    <row r="23" spans="1:2" x14ac:dyDescent="0.25">
      <c r="A23" s="19" t="s">
        <v>65</v>
      </c>
      <c r="B23" s="25">
        <f>B22/Assumptions!B31</f>
        <v>78.29678601313309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102.67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46.83475627395504</v>
      </c>
    </row>
    <row r="29" spans="1:2" x14ac:dyDescent="0.25">
      <c r="A29" s="19" t="s">
        <v>73</v>
      </c>
      <c r="B29" s="12">
        <f>B28/B26-1</f>
        <v>-0.5438321196653839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0.083776</v>
      </c>
      <c r="B5" s="31">
        <v>64.3229459127625</v>
      </c>
      <c r="C5" s="31">
        <v>64.65243819841335</v>
      </c>
      <c r="D5" s="31">
        <v>64.98193048406416</v>
      </c>
      <c r="E5" s="31">
        <v>65.31142276971501</v>
      </c>
      <c r="F5" s="31">
        <v>65.64091505536587</v>
      </c>
    </row>
    <row r="6" spans="1:6" x14ac:dyDescent="0.25">
      <c r="A6" s="30">
        <v>0.093776</v>
      </c>
      <c r="B6" s="31">
        <v>54.352032309571406</v>
      </c>
      <c r="C6" s="31">
        <v>54.6344704192671</v>
      </c>
      <c r="D6" s="31">
        <v>54.916908528962786</v>
      </c>
      <c r="E6" s="31">
        <v>55.199346638658476</v>
      </c>
      <c r="F6" s="31">
        <v>55.48178474835417</v>
      </c>
    </row>
    <row r="7" spans="1:6" x14ac:dyDescent="0.25">
      <c r="A7" s="30">
        <v>0.103776</v>
      </c>
      <c r="B7" s="31">
        <v>46.34514570578472</v>
      </c>
      <c r="C7" s="31">
        <v>46.59012623394826</v>
      </c>
      <c r="D7" s="32">
        <v>46.83510676211184</v>
      </c>
      <c r="E7" s="31">
        <v>47.08008729027539</v>
      </c>
      <c r="F7" s="31">
        <v>47.32506781843893</v>
      </c>
    </row>
    <row r="8" spans="1:6" x14ac:dyDescent="0.25">
      <c r="A8" s="30">
        <v>0.113776</v>
      </c>
      <c r="B8" s="31">
        <v>39.78221231750813</v>
      </c>
      <c r="C8" s="31">
        <v>39.99677379128078</v>
      </c>
      <c r="D8" s="31">
        <v>40.21133526505342</v>
      </c>
      <c r="E8" s="31">
        <v>40.425896738826076</v>
      </c>
      <c r="F8" s="31">
        <v>40.64045821259871</v>
      </c>
    </row>
    <row r="9" spans="1:6" x14ac:dyDescent="0.25">
      <c r="A9" s="30">
        <v>0.123776</v>
      </c>
      <c r="B9" s="31">
        <v>34.31135962015333</v>
      </c>
      <c r="C9" s="31">
        <v>34.50081084720693</v>
      </c>
      <c r="D9" s="31">
        <v>34.69026207426049</v>
      </c>
      <c r="E9" s="31">
        <v>34.879713301314084</v>
      </c>
      <c r="F9" s="31">
        <v>35.06916452836765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94425000000</v>
      </c>
      <c r="C5" s="18">
        <v>91361000000</v>
      </c>
      <c r="D5" s="18">
        <v>88898000000</v>
      </c>
      <c r="E5" s="18">
        <v>82722000000</v>
      </c>
      <c r="F5" s="8" t="s">
        <v>84</v>
      </c>
    </row>
    <row r="6" spans="1:6" x14ac:dyDescent="0.25">
      <c r="A6" t="s">
        <v>44</v>
      </c>
      <c r="B6" s="18">
        <v>13832000000</v>
      </c>
      <c r="C6" s="18">
        <v>11914000000</v>
      </c>
      <c r="D6" s="18">
        <v>8992000000</v>
      </c>
      <c r="E6" s="18">
        <v>6770000000</v>
      </c>
      <c r="F6" s="8" t="s">
        <v>85</v>
      </c>
    </row>
    <row r="7" spans="1:6" x14ac:dyDescent="0.25">
      <c r="A7" t="s">
        <v>86</v>
      </c>
      <c r="B7" s="18">
        <v>5326000000</v>
      </c>
      <c r="C7" s="18">
        <v>4990000000</v>
      </c>
      <c r="D7" s="18">
        <v>5369000000</v>
      </c>
      <c r="E7" s="18">
        <v>5163000000</v>
      </c>
      <c r="F7" s="8" t="s">
        <v>87</v>
      </c>
    </row>
    <row r="8" spans="1:6" x14ac:dyDescent="0.25">
      <c r="A8" t="s">
        <v>88</v>
      </c>
      <c r="B8" s="18">
        <v>8024000000</v>
      </c>
      <c r="C8" s="18">
        <v>5412000000</v>
      </c>
      <c r="D8" s="18">
        <v>4969000000</v>
      </c>
      <c r="E8" s="18">
        <v>4943000000</v>
      </c>
      <c r="F8" s="8" t="s">
        <v>89</v>
      </c>
    </row>
    <row r="9" spans="1:6" x14ac:dyDescent="0.25">
      <c r="A9" t="s">
        <v>90</v>
      </c>
      <c r="B9" s="18">
        <v>430000000</v>
      </c>
      <c r="C9" s="18">
        <v>1613000000</v>
      </c>
      <c r="D9" s="18">
        <v>-177000000</v>
      </c>
      <c r="E9" s="18">
        <v>-488000000</v>
      </c>
      <c r="F9" s="8" t="s">
        <v>91</v>
      </c>
    </row>
    <row r="10" spans="1:6" x14ac:dyDescent="0.25">
      <c r="A10" t="s">
        <v>92</v>
      </c>
      <c r="B10" s="18">
        <v>44877000000</v>
      </c>
      <c r="C10" s="18">
        <v>48743000000</v>
      </c>
      <c r="D10" s="18">
        <v>49895000000</v>
      </c>
      <c r="E10" s="18">
        <v>51608000000</v>
      </c>
      <c r="F10" s="8" t="s">
        <v>93</v>
      </c>
    </row>
    <row r="11" spans="1:6" x14ac:dyDescent="0.25">
      <c r="A11" t="s">
        <v>94</v>
      </c>
      <c r="B11" s="18">
        <v>5695000000</v>
      </c>
      <c r="C11" s="18">
        <v>6002000000</v>
      </c>
      <c r="D11" s="18">
        <v>14182000000</v>
      </c>
      <c r="E11" s="18">
        <v>11615000000</v>
      </c>
      <c r="F11" s="8" t="s">
        <v>95</v>
      </c>
    </row>
    <row r="12" spans="1:6" x14ac:dyDescent="0.25">
      <c r="A12" t="s">
        <v>32</v>
      </c>
      <c r="B12" s="34">
        <v>1811000000</v>
      </c>
      <c r="C12" s="34">
        <v>1831000000</v>
      </c>
      <c r="D12" s="34">
        <v>1830000000</v>
      </c>
      <c r="E12" s="34">
        <v>1827000000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2026-09-19T01:03:11Z</dcterms:modified>
</cp:coreProperties>
</file>