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<sst xmlns="http://schemas.openxmlformats.org/spreadsheetml/2006/main" count="119" uniqueCount="106">
  <si>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The Walt Disney Company (DIS)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</si>
  <si>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</si>
  <si>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</si>
  <si>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</si>
  <si>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</si>
  <si>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</si>
  <si>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</si>
  <si>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</si>
  <si>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</si>
  <si>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</si>
  <si>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</si>
  <si>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</si>
  <si>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</si>
  <si>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</si>
  <si>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</si>
  <si>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</si>
  <si>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</si>
  <si>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</si>
  <si>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</si>
  <si>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</si>
  <si>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</si>
  <si>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</si>
  <si>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</si>
  <si>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</si>
  <si>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7.6x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</si>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</sst>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0.07516121016679911</v>
      </c>
    </row>
    <row r="7" spans="1:2" x14ac:dyDescent="0.25">
      <c r="A7" t="s">
        <v>4</v>
      </c>
      <c r="B7" s="5">
        <v>0.11497059895000447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0.05845799325016235</v>
      </c>
    </row>
    <row r="10" spans="1:3" x14ac:dyDescent="0.25">
      <c r="A10" t="s">
        <v>7</v>
      </c>
      <c r="B10" s="5">
        <v>0.06496622607076996</v>
      </c>
      <c r="C10" s="6" t="s">
        <v>8</v>
      </c>
    </row>
    <row r="11" spans="1:2" x14ac:dyDescent="0.25">
      <c r="A11" t="s">
        <v>9</v>
      </c>
      <c r="B11" s="5">
        <v>-0.030092964886331033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12.044088516964193</v>
      </c>
    </row>
    <row r="14" spans="1:3" x14ac:dyDescent="0.25">
      <c r="A14" t="s">
        <v>12</v>
      </c>
      <c r="B14" s="5">
        <v>0.09166020914768844</v>
      </c>
      <c r="C14" s="6" t="s">
        <v>13</v>
      </c>
    </row>
    <row r="15" spans="1:3" x14ac:dyDescent="0.25">
      <c r="A15" t="s">
        <v>14</v>
      </c>
      <c r="B15" s="5">
        <v>0.019027452206127435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1.27939</v>
      </c>
      <c r="C19" s="6" t="s">
        <v>21</v>
      </c>
    </row>
    <row r="20" spans="1:2" x14ac:dyDescent="0.25">
      <c r="A20" t="s">
        <v>22</v>
      </c>
      <c r="B20" s="9">
        <f>B17+B19*B18</f>
        <v>0.103058197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191558647808</v>
      </c>
    </row>
    <row r="23" spans="1:2" x14ac:dyDescent="0.25">
      <c r="A23" t="s">
        <v>26</v>
      </c>
      <c r="B23" s="10">
        <v>44877000000</v>
      </c>
    </row>
    <row r="24" spans="1:2" x14ac:dyDescent="0.25">
      <c r="A24" t="s">
        <v>27</v>
      </c>
      <c r="B24" s="9">
        <f>B22/(B22+B23)</f>
        <v>0.810193596371547</v>
      </c>
    </row>
    <row r="25" spans="1:2" x14ac:dyDescent="0.25">
      <c r="A25" t="s">
        <v>28</v>
      </c>
      <c r="B25" s="9">
        <f>1-B24</f>
        <v>0.18980640362845302</v>
      </c>
    </row>
    <row r="26" spans="1:2" x14ac:dyDescent="0.25">
      <c r="A26" t="s">
        <v>29</v>
      </c>
      <c r="B26" s="11">
        <f>B24*B20+B25*B21*(1-B8)</f>
        <v>0.09166020914768844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94425000000</v>
      </c>
      <c r="C29" s="6" t="s">
        <v>32</v>
      </c>
    </row>
    <row r="30" spans="1:2" x14ac:dyDescent="0.25">
      <c r="A30" t="s">
        <v>33</v>
      </c>
      <c r="B30" s="10">
        <v>39182000000</v>
      </c>
    </row>
    <row r="31" spans="1:2" x14ac:dyDescent="0.25">
      <c r="A31" t="s">
        <v>34</v>
      </c>
      <c r="B31" s="12">
        <v>1811000000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0.07516121016679911</v>
      </c>
      <c r="C5" s="5">
        <v>0.04428453313019309</v>
      </c>
      <c r="D5" s="5">
        <v>0.04187396648891896</v>
      </c>
      <c r="E5" s="5">
        <v>0.03946339984764482</v>
      </c>
      <c r="F5" s="5">
        <v>0.037052833206370685</v>
      </c>
      <c r="G5" s="5">
        <v>0.034642266565096544</v>
      </c>
      <c r="H5" s="5">
        <v>0.03223169992382241</v>
      </c>
      <c r="I5" s="5">
        <v>0.029821133282548276</v>
      </c>
      <c r="J5" s="5">
        <v>0.02741056664127414</v>
      </c>
      <c r="K5" s="5">
        <v>0.025</v>
      </c>
    </row>
    <row r="6" spans="1:11" x14ac:dyDescent="0.25">
      <c r="A6" t="s">
        <v>50</v>
      </c>
      <c r="B6" s="18">
        <f>Assumptions!B29*(1+B5)</f>
        <v>101522097270</v>
      </c>
      <c r="C6" s="18">
        <f>B6*(1+C5)</f>
        <v>106017955950</v>
      </c>
      <c r="D6" s="18">
        <f>C6*(1+D5)</f>
        <v>110457348284.67398</v>
      </c>
      <c r="E6" s="18">
        <f>D6*(1+E5)</f>
        <v>114816370786.14264</v>
      </c>
      <c r="F6" s="18">
        <f>E6*(1+F5)</f>
        <v>119070642622.24239</v>
      </c>
      <c r="G6" s="18">
        <f>F6*(1+G5)</f>
        <v>123195519564.03944</v>
      </c>
      <c r="H6" s="18">
        <f>G6*(1+H5)</f>
        <v>127166320582.58694</v>
      </c>
      <c r="I6" s="18">
        <f>H6*(1+I5)</f>
        <v>130958564377.73152</v>
      </c>
      <c r="J6" s="18">
        <f>I6*(1+J5)</f>
        <v>134548212833.8529</v>
      </c>
      <c r="K6" s="18">
        <f>J6*(1+K5)</f>
        <v>137911918154.69922</v>
      </c>
    </row>
    <row r="7" spans="1:11" x14ac:dyDescent="0.25">
      <c r="A7" t="s">
        <v>4</v>
      </c>
      <c r="B7" s="9">
        <f>Assumptions!B7</f>
        <v>0.11497059895000447</v>
      </c>
      <c r="C7" s="9">
        <f>Assumptions!B7</f>
        <v>0.11497059895000447</v>
      </c>
      <c r="D7" s="9">
        <f>Assumptions!B7</f>
        <v>0.11497059895000447</v>
      </c>
      <c r="E7" s="9">
        <f>Assumptions!B7</f>
        <v>0.11497059895000447</v>
      </c>
      <c r="F7" s="9">
        <f>Assumptions!B7</f>
        <v>0.11497059895000447</v>
      </c>
      <c r="G7" s="9">
        <f>Assumptions!B7</f>
        <v>0.11497059895000447</v>
      </c>
      <c r="H7" s="9">
        <f>Assumptions!B7</f>
        <v>0.11497059895000447</v>
      </c>
      <c r="I7" s="9">
        <f>Assumptions!B7</f>
        <v>0.11497059895000447</v>
      </c>
      <c r="J7" s="9">
        <f>Assumptions!B7</f>
        <v>0.11497059895000447</v>
      </c>
      <c r="K7" s="9">
        <f>Assumptions!B7</f>
        <v>0.11497059895000447</v>
      </c>
    </row>
    <row r="8" spans="1:11" x14ac:dyDescent="0.25">
      <c r="A8" t="s">
        <v>51</v>
      </c>
      <c r="B8" s="18">
        <f>B6*B7</f>
        <v>11672056329.792513</v>
      </c>
      <c r="C8" s="18">
        <f>C6*C7</f>
        <v>12188947895.02669</v>
      </c>
      <c r="D8" s="18">
        <f>D6*D7</f>
        <v>12699347490.718216</v>
      </c>
      <c r="E8" s="18">
        <f>E6*E7</f>
        <v>13200506918.548615</v>
      </c>
      <c r="F8" s="18">
        <f>F6*F7</f>
        <v>13689623099.641138</v>
      </c>
      <c r="G8" s="18">
        <f>G6*G7</f>
        <v>14163862672.234608</v>
      </c>
      <c r="H8" s="18">
        <f>H6*H7</f>
        <v>14620388043.648302</v>
      </c>
      <c r="I8" s="18">
        <f>I6*I7</f>
        <v>15056384584.140512</v>
      </c>
      <c r="J8" s="18">
        <f>J6*J7</f>
        <v>15469088617.160748</v>
      </c>
      <c r="K8" s="18">
        <f>K6*K7</f>
        <v>15855815832.589764</v>
      </c>
    </row>
    <row r="9" spans="1:11" x14ac:dyDescent="0.25">
      <c r="A9" t="s">
        <v>52</v>
      </c>
      <c r="B9" s="18">
        <f>B8*(1-Assumptions!B8)</f>
        <v>9220924500.536085</v>
      </c>
      <c r="C9" s="18">
        <f>C8*(1-Assumptions!B8)</f>
        <v>9629268837.071085</v>
      </c>
      <c r="D9" s="18">
        <f>D8*(1-Assumptions!B8)</f>
        <v>10032484517.66739</v>
      </c>
      <c r="E9" s="18">
        <f>E8*(1-Assumptions!B8)</f>
        <v>10428400465.653406</v>
      </c>
      <c r="F9" s="18">
        <f>F8*(1-Assumptions!B8)</f>
        <v>10814802248.7165</v>
      </c>
      <c r="G9" s="18">
        <f>G8*(1-Assumptions!B8)</f>
        <v>11189451511.06534</v>
      </c>
      <c r="H9" s="18">
        <f>H8*(1-Assumptions!B8)</f>
        <v>11550106554.482159</v>
      </c>
      <c r="I9" s="18">
        <f>I8*(1-Assumptions!B8)</f>
        <v>11894543821.471004</v>
      </c>
      <c r="J9" s="18">
        <f>J8*(1-Assumptions!B8)</f>
        <v>12220580007.556992</v>
      </c>
      <c r="K9" s="18">
        <f>K8*(1-Assumptions!B8)</f>
        <v>12526094507.745914</v>
      </c>
    </row>
    <row r="10" spans="1:11" x14ac:dyDescent="0.25">
      <c r="A10" t="s">
        <v>53</v>
      </c>
      <c r="B10" s="18">
        <f>B6*Assumptions!B9</f>
        <v>5934778076.951985</v>
      </c>
      <c r="C10" s="18">
        <f>C6*Assumptions!B9</f>
        <v>6197596953.321109</v>
      </c>
      <c r="D10" s="18">
        <f>D6*Assumptions!B9</f>
        <v>6457114920.456304</v>
      </c>
      <c r="E10" s="18">
        <f>E6*Assumptions!B9</f>
        <v>6711934628.424464</v>
      </c>
      <c r="F10" s="18">
        <f>F6*Assumptions!B9</f>
        <v>6960630822.703539</v>
      </c>
      <c r="G10" s="18">
        <f>G6*Assumptions!B9</f>
        <v>7201762851.124862</v>
      </c>
      <c r="H10" s="18">
        <f>H6*Assumptions!B9</f>
        <v>7433887910.264849</v>
      </c>
      <c r="I10" s="18">
        <f>I6*Assumptions!B9</f>
        <v>7655574872.444381</v>
      </c>
      <c r="J10" s="18">
        <f>J6*Assumptions!B9</f>
        <v>7865418517.66278</v>
      </c>
      <c r="K10" s="18">
        <f>K6*Assumptions!B9</f>
        <v>8062053980.604349</v>
      </c>
    </row>
    <row r="11" spans="1:11" x14ac:dyDescent="0.25">
      <c r="A11" t="s">
        <v>54</v>
      </c>
      <c r="B11" s="18">
        <f>-B6*B19</f>
        <v>-6595507522.421518</v>
      </c>
      <c r="C11" s="18">
        <f>-C6*C19</f>
        <v>-6738336738.523309</v>
      </c>
      <c r="D11" s="18">
        <f>-D6*D19</f>
        <v>-6864998190.766665</v>
      </c>
      <c r="E11" s="18">
        <f>-E6*E19</f>
        <v>-6974278388.424429</v>
      </c>
      <c r="F11" s="18">
        <f>-F6*F19</f>
        <v>-7065070120.717868</v>
      </c>
      <c r="G11" s="18">
        <f>-G6*G19</f>
        <v>-7136388210.200255</v>
      </c>
      <c r="H11" s="18">
        <f>-H6*H19</f>
        <v>-7187384173.926331</v>
      </c>
      <c r="I11" s="18">
        <f>-I6*I19</f>
        <v>-7217359518.006977</v>
      </c>
      <c r="J11" s="18">
        <f>-J6*J19</f>
        <v>-7225777406.28751</v>
      </c>
      <c r="K11" s="18">
        <f>-K6*K19</f>
        <v>-7212272465.038819</v>
      </c>
    </row>
    <row r="12" spans="1:11" x14ac:dyDescent="0.25">
      <c r="A12" t="s">
        <v>55</v>
      </c>
      <c r="B12" s="18">
        <f>-(B6-Assumptions!B29)*Assumptions!B11</f>
        <v>213572698.94098583</v>
      </c>
      <c r="C12" s="18">
        <f>-(C6-B6)*Assumptions!B11</f>
        <v>135293717.3911466</v>
      </c>
      <c r="D12" s="18">
        <f>-(D6-C6)*Assumptions!B11</f>
        <v>133594477.64399125</v>
      </c>
      <c r="E12" s="18">
        <f>-(E6-D6)*Assumptions!B11</f>
        <v>131175911.0754232</v>
      </c>
      <c r="F12" s="18">
        <f>-(F6-E6)*Assumptions!B11</f>
        <v>128023652.98065673</v>
      </c>
      <c r="G12" s="18">
        <f>-(G6-F6)*Assumptions!B11</f>
        <v>124129776.9699354</v>
      </c>
      <c r="H12" s="18">
        <f>-(H6-G6)*Assumptions!B11</f>
        <v>119493175.62175743</v>
      </c>
      <c r="I12" s="18">
        <f>-(I6-H6)*Assumptions!B11</f>
        <v>114119859.36769249</v>
      </c>
      <c r="J12" s="18">
        <f>-(J6-I6)*Assumptions!B11</f>
        <v>108023164.9443332</v>
      </c>
      <c r="K12" s="18">
        <f>-(K6-J6)*Assumptions!B11</f>
        <v>101223866.10819297</v>
      </c>
    </row>
    <row r="13" spans="1:11" x14ac:dyDescent="0.25">
      <c r="A13" s="19" t="s">
        <v>56</v>
      </c>
      <c r="B13" s="20">
        <f>B9+B10+B11+B12</f>
        <v>8773767754.00754</v>
      </c>
      <c r="C13" s="20">
        <f>C9+C10+C11+C12</f>
        <v>9223822769.26003</v>
      </c>
      <c r="D13" s="20">
        <f>D9+D10+D11+D12</f>
        <v>9758195725.00102</v>
      </c>
      <c r="E13" s="20">
        <f>E9+E10+E11+E12</f>
        <v>10297232616.728863</v>
      </c>
      <c r="F13" s="20">
        <f>F9+F10+F11+F12</f>
        <v>10838386603.682825</v>
      </c>
      <c r="G13" s="20">
        <f>G9+G10+G11+G12</f>
        <v>11378955928.959879</v>
      </c>
      <c r="H13" s="20">
        <f>H9+H10+H11+H12</f>
        <v>11916103466.442436</v>
      </c>
      <c r="I13" s="20">
        <f>I9+I10+I11+I12</f>
        <v>12446879035.276102</v>
      </c>
      <c r="J13" s="20">
        <f>J9+J10+J11+J12</f>
        <v>12968244283.876596</v>
      </c>
      <c r="K13" s="20">
        <f>K9+K10+K11+K12</f>
        <v>13477099889.41964</v>
      </c>
    </row>
    <row r="14" spans="1:11" x14ac:dyDescent="0.25">
      <c r="A14" t="s">
        <v>57</v>
      </c>
      <c r="B14" s="21">
        <f>1/(1+Assumptions!$B$26)^(1-0.5*Assumptions!$B$32)</f>
        <v>0.9570976715907704</v>
      </c>
      <c r="C14" s="21">
        <f>1/(1+Assumptions!$B$26)^(2-0.5*Assumptions!$B$32)</f>
        <v>0.8767358776757309</v>
      </c>
      <c r="D14" s="21">
        <f>1/(1+Assumptions!$B$26)^(3-0.5*Assumptions!$B$32)</f>
        <v>0.8031215852048328</v>
      </c>
      <c r="E14" s="21">
        <f>1/(1+Assumptions!$B$26)^(4-0.5*Assumptions!$B$32)</f>
        <v>0.7356882466494483</v>
      </c>
      <c r="F14" s="21">
        <f>1/(1+Assumptions!$B$26)^(5-0.5*Assumptions!$B$32)</f>
        <v>0.6739168841042905</v>
      </c>
      <c r="G14" s="21">
        <f>1/(1+Assumptions!$B$26)^(6-0.5*Assumptions!$B$32)</f>
        <v>0.617332095149323</v>
      </c>
      <c r="H14" s="21">
        <f>1/(1+Assumptions!$B$26)^(7-0.5*Assumptions!$B$32)</f>
        <v>0.5654983940756656</v>
      </c>
      <c r="I14" s="21">
        <f>1/(1+Assumptions!$B$26)^(8-0.5*Assumptions!$B$32)</f>
        <v>0.5180168603169821</v>
      </c>
      <c r="J14" s="21">
        <f>1/(1+Assumptions!$B$26)^(9-0.5*Assumptions!$B$32)</f>
        <v>0.4745220682921316</v>
      </c>
      <c r="K14" s="21">
        <f>1/(1+Assumptions!$B$26)^(10-0.5*Assumptions!$B$32)</f>
        <v>0.4346792750306562</v>
      </c>
    </row>
    <row r="15" spans="1:11" x14ac:dyDescent="0.25">
      <c r="A15" s="19" t="s">
        <v>58</v>
      </c>
      <c r="B15" s="20">
        <f>B13*B14</f>
        <v>8397352688.4388</v>
      </c>
      <c r="C15" s="20">
        <f>C13*C14</f>
        <v>8086856351.132584</v>
      </c>
      <c r="D15" s="20">
        <f>D13*D14</f>
        <v>7837017619.401842</v>
      </c>
      <c r="E15" s="20">
        <f>E13*E14</f>
        <v>7575553009.142768</v>
      </c>
      <c r="F15" s="20">
        <f>F13*F14</f>
        <v>7304171728.671614</v>
      </c>
      <c r="G15" s="20">
        <f>G13*G14</f>
        <v>7024594704.236612</v>
      </c>
      <c r="H15" s="20">
        <f>H13*H14</f>
        <v>6738537373.91267</v>
      </c>
      <c r="I15" s="20">
        <f>I13*I14</f>
        <v>6447693198.598994</v>
      </c>
      <c r="J15" s="20">
        <f>J13*J14</f>
        <v>6153718099.702736</v>
      </c>
      <c r="K15" s="20">
        <f>K13*K14</f>
        <v>5858216009.448666</v>
      </c>
    </row>
    <row r="17" spans="1:2" x14ac:dyDescent="0.25">
      <c r="A17" s="22" t="s">
        <v>59</v>
      </c>
      <c r="B17" s="23">
        <f>SUM(B15:K15)</f>
        <v>71423710782.68729</v>
      </c>
    </row>
    <row r="19" spans="1:11" x14ac:dyDescent="0.25">
      <c r="A19" t="s">
        <v>7</v>
      </c>
      <c r="B19" s="9">
        <f>Assumptions!$B$10+($B$20-Assumptions!$B$10)*0/9</f>
        <v>0.06496622607076996</v>
      </c>
      <c r="C19" s="9">
        <f>Assumptions!$B$10+($B$20-Assumptions!$B$10)*1/9</f>
        <v>0.0635584479831061</v>
      </c>
      <c r="D19" s="9">
        <f>Assumptions!$B$10+($B$20-Assumptions!$B$10)*2/9</f>
        <v>0.06215066989544224</v>
      </c>
      <c r="E19" s="9">
        <f>Assumptions!$B$10+($B$20-Assumptions!$B$10)*3/9</f>
        <v>0.060742891807778386</v>
      </c>
      <c r="F19" s="9">
        <f>Assumptions!$B$10+($B$20-Assumptions!$B$10)*4/9</f>
        <v>0.059335113720114525</v>
      </c>
      <c r="G19" s="9">
        <f>Assumptions!$B$10+($B$20-Assumptions!$B$10)*5/9</f>
        <v>0.057927335632450665</v>
      </c>
      <c r="H19" s="9">
        <f>Assumptions!$B$10+($B$20-Assumptions!$B$10)*6/9</f>
        <v>0.05651955754478681</v>
      </c>
      <c r="I19" s="9">
        <f>Assumptions!$B$10+($B$20-Assumptions!$B$10)*7/9</f>
        <v>0.05511177945712295</v>
      </c>
      <c r="J19" s="9">
        <f>Assumptions!$B$10+($B$20-Assumptions!$B$10)*8/9</f>
        <v>0.05370400136945909</v>
      </c>
      <c r="K19" s="9">
        <f>Assumptions!$B$10+($B$20-Assumptions!$B$10)*9/9</f>
        <v>0.05229622328179523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0.05229622328179523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13477099889.41964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16822068331.66167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0.27274648653396044</v>
      </c>
    </row>
    <row r="7" spans="1:2" x14ac:dyDescent="0.25">
      <c r="A7" t="s">
        <v>66</v>
      </c>
      <c r="B7" s="18">
        <f>-MAX(B5,0)*B6</f>
        <v>-4588160033.694922</v>
      </c>
    </row>
    <row r="8" spans="1:2" x14ac:dyDescent="0.25">
      <c r="A8" t="s">
        <v>67</v>
      </c>
      <c r="B8" s="18">
        <f>IF(OR(Assumptions!$B$33=0,Assumptions!B12&lt;=0),B5,MAX(B5+B7,0))</f>
        <v>12233908297.966747</v>
      </c>
    </row>
    <row r="9" spans="1:2" x14ac:dyDescent="0.25">
      <c r="A9" t="s">
        <v>68</v>
      </c>
      <c r="B9" s="18">
        <f>B8*(1+Assumptions!B12)/(Assumptions!B26-Assumptions!B12)</f>
        <v>188114561381.49173</v>
      </c>
    </row>
    <row r="10" spans="1:2" x14ac:dyDescent="0.25">
      <c r="A10" t="s">
        <v>69</v>
      </c>
      <c r="B10" s="18">
        <f>B9/(1+Assumptions!B26)^(10-0.5*Assumptions!B32)</f>
        <v>81769501164.0167</v>
      </c>
    </row>
    <row r="11" spans="1:2" x14ac:dyDescent="0.25">
      <c r="A11" t="s">
        <v>70</v>
      </c>
      <c r="B11" s="18">
        <f>Forecast!B17+B10</f>
        <v>153193211946.70398</v>
      </c>
    </row>
    <row r="12" spans="1:2" x14ac:dyDescent="0.25">
      <c r="A12" t="s">
        <v>71</v>
      </c>
      <c r="B12" s="18">
        <f>-Assumptions!B30</f>
        <v>-39182000000</v>
      </c>
    </row>
    <row r="13" spans="1:2" x14ac:dyDescent="0.25">
      <c r="A13" t="s">
        <v>72</v>
      </c>
      <c r="B13" s="18">
        <f>B11+B12</f>
        <v>114011211946.70398</v>
      </c>
    </row>
    <row r="14" spans="1:2" x14ac:dyDescent="0.25">
      <c r="A14" s="19" t="s">
        <v>73</v>
      </c>
      <c r="B14" s="24">
        <f>B13/Assumptions!B31</f>
        <v>62.95483818150413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23917869813.194115</v>
      </c>
    </row>
    <row r="18" spans="1:2" x14ac:dyDescent="0.25">
      <c r="A18" t="s">
        <v>68</v>
      </c>
      <c r="B18" s="18">
        <f>B17*Assumptions!B13</f>
        <v>288068941167.33575</v>
      </c>
    </row>
    <row r="19" spans="1:2" x14ac:dyDescent="0.25">
      <c r="A19" t="s">
        <v>69</v>
      </c>
      <c r="B19" s="18">
        <f>B18/(1+Assumptions!B26)^(10-0.5*Assumptions!B32)</f>
        <v>125217598505.46625</v>
      </c>
    </row>
    <row r="20" spans="1:2" x14ac:dyDescent="0.25">
      <c r="A20" t="s">
        <v>70</v>
      </c>
      <c r="B20" s="18">
        <f>Forecast!B17+B19</f>
        <v>196641309288.15353</v>
      </c>
    </row>
    <row r="21" spans="1:2" x14ac:dyDescent="0.25">
      <c r="A21" t="s">
        <v>71</v>
      </c>
      <c r="B21" s="18">
        <f>-Assumptions!B30</f>
        <v>-39182000000</v>
      </c>
    </row>
    <row r="22" spans="1:2" x14ac:dyDescent="0.25">
      <c r="A22" t="s">
        <v>72</v>
      </c>
      <c r="B22" s="18">
        <f>B20+B21</f>
        <v>157459309288.15353</v>
      </c>
    </row>
    <row r="23" spans="1:2" x14ac:dyDescent="0.25">
      <c r="A23" s="19" t="s">
        <v>73</v>
      </c>
      <c r="B23" s="25">
        <f>B22/Assumptions!B31</f>
        <v>86.94605703376783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110.94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62.95483818150413</v>
      </c>
    </row>
    <row r="29" spans="1:2" x14ac:dyDescent="0.25">
      <c r="A29" s="19" t="s">
        <v>81</v>
      </c>
      <c r="B29" s="11">
        <f>B28/B26-1</f>
        <v>-0.4325325565034782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0.07166</v>
      </c>
      <c r="B5" s="31">
        <v>91.30436191272189</v>
      </c>
      <c r="C5" s="31">
        <v>89.76328130602154</v>
      </c>
      <c r="D5" s="31">
        <v>88.22220069932118</v>
      </c>
      <c r="E5" s="31">
        <v>86.68112009262083</v>
      </c>
      <c r="F5" s="31">
        <v>85.14003948592045</v>
      </c>
    </row>
    <row r="6" spans="1:6" x14ac:dyDescent="0.25">
      <c r="A6" s="30">
        <v>0.08166</v>
      </c>
      <c r="B6" s="31">
        <v>76.57641317986533</v>
      </c>
      <c r="C6" s="31">
        <v>75.29739731814921</v>
      </c>
      <c r="D6" s="31">
        <v>74.01838145643306</v>
      </c>
      <c r="E6" s="31">
        <v>72.73936559471696</v>
      </c>
      <c r="F6" s="31">
        <v>71.46034973300085</v>
      </c>
    </row>
    <row r="7" spans="1:6" x14ac:dyDescent="0.25">
      <c r="A7" s="30">
        <v>0.09166</v>
      </c>
      <c r="B7" s="31">
        <v>65.1122490734384</v>
      </c>
      <c r="C7" s="31">
        <v>64.03364649101435</v>
      </c>
      <c r="D7" s="32">
        <v>62.9550439085903</v>
      </c>
      <c r="E7" s="31">
        <v>61.876441326166216</v>
      </c>
      <c r="F7" s="31">
        <v>60.79783874374216</v>
      </c>
    </row>
    <row r="8" spans="1:6" x14ac:dyDescent="0.25">
      <c r="A8" s="30">
        <v>0.10166</v>
      </c>
      <c r="B8" s="31">
        <v>55.946067574006186</v>
      </c>
      <c r="C8" s="31">
        <v>55.024741925427946</v>
      </c>
      <c r="D8" s="31">
        <v>54.103416276849714</v>
      </c>
      <c r="E8" s="31">
        <v>53.18209062827148</v>
      </c>
      <c r="F8" s="31">
        <v>52.26076497969325</v>
      </c>
    </row>
    <row r="9" spans="1:6" x14ac:dyDescent="0.25">
      <c r="A9" s="30">
        <v>0.11166</v>
      </c>
      <c r="B9" s="31">
        <v>48.45819581441664</v>
      </c>
      <c r="C9" s="31">
        <v>47.66286685965249</v>
      </c>
      <c r="D9" s="31">
        <v>46.867537904888344</v>
      </c>
      <c r="E9" s="31">
        <v>46.072208950124185</v>
      </c>
      <c r="F9" s="31">
        <v>45.276879995360034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94425000000</v>
      </c>
      <c r="C5" s="18">
        <v>91361000000</v>
      </c>
      <c r="D5" s="18">
        <v>88898000000</v>
      </c>
      <c r="E5" s="18">
        <v>82722000000</v>
      </c>
      <c r="F5" s="6" t="s">
        <v>91</v>
      </c>
    </row>
    <row r="6" spans="1:6" x14ac:dyDescent="0.25">
      <c r="A6" t="s">
        <v>51</v>
      </c>
      <c r="B6" s="18">
        <v>13832000000</v>
      </c>
      <c r="C6" s="18">
        <v>11914000000</v>
      </c>
      <c r="D6" s="18">
        <v>8992000000</v>
      </c>
      <c r="E6" s="18">
        <v>6770000000</v>
      </c>
      <c r="F6" s="6" t="s">
        <v>92</v>
      </c>
    </row>
    <row r="7" spans="1:6" x14ac:dyDescent="0.25">
      <c r="A7" t="s">
        <v>93</v>
      </c>
      <c r="B7" s="18">
        <v>5326000000</v>
      </c>
      <c r="C7" s="18">
        <v>4990000000</v>
      </c>
      <c r="D7" s="18">
        <v>5369000000</v>
      </c>
      <c r="E7" s="18">
        <v>5163000000</v>
      </c>
      <c r="F7" s="6" t="s">
        <v>94</v>
      </c>
    </row>
    <row r="8" spans="1:6" x14ac:dyDescent="0.25">
      <c r="A8" t="s">
        <v>95</v>
      </c>
      <c r="B8" s="18">
        <v>8024000000</v>
      </c>
      <c r="C8" s="18">
        <v>5412000000</v>
      </c>
      <c r="D8" s="18">
        <v>4969000000</v>
      </c>
      <c r="E8" s="18">
        <v>4943000000</v>
      </c>
      <c r="F8" s="6" t="s">
        <v>96</v>
      </c>
    </row>
    <row r="9" spans="1:6" x14ac:dyDescent="0.25">
      <c r="A9" t="s">
        <v>97</v>
      </c>
      <c r="B9" s="18">
        <v>430000000</v>
      </c>
      <c r="C9" s="18">
        <v>1613000000</v>
      </c>
      <c r="D9" s="18">
        <v>-177000000</v>
      </c>
      <c r="E9" s="18">
        <v>-488000000</v>
      </c>
      <c r="F9" s="6" t="s">
        <v>98</v>
      </c>
    </row>
    <row r="10" spans="1:6" x14ac:dyDescent="0.25">
      <c r="A10" t="s">
        <v>99</v>
      </c>
      <c r="B10" s="18">
        <v>44877000000</v>
      </c>
      <c r="C10" s="18">
        <v>48743000000</v>
      </c>
      <c r="D10" s="18">
        <v>49895000000</v>
      </c>
      <c r="E10" s="18">
        <v>51608000000</v>
      </c>
      <c r="F10" s="6" t="s">
        <v>100</v>
      </c>
    </row>
    <row r="11" spans="1:6" x14ac:dyDescent="0.25">
      <c r="A11" t="s">
        <v>101</v>
      </c>
      <c r="B11" s="18">
        <v>5695000000</v>
      </c>
      <c r="C11" s="18">
        <v>6002000000</v>
      </c>
      <c r="D11" s="18">
        <v>14182000000</v>
      </c>
      <c r="E11" s="18">
        <v>11615000000</v>
      </c>
      <c r="F11" s="6" t="s">
        <v>102</v>
      </c>
    </row>
    <row r="12" spans="1:6" x14ac:dyDescent="0.25">
      <c r="A12" t="s">
        <v>34</v>
      </c>
      <c r="B12" s="34">
        <v>1811000000</v>
      </c>
      <c r="C12" s="34">
        <v>1831000000</v>
      </c>
      <c r="D12" s="34">
        <v>1830000000</v>
      </c>
      <c r="E12" s="34">
        <v>1827000000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