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<sst xmlns="http://schemas.openxmlformats.org/spreadsheetml/2006/main" count="113" uniqueCount="101">
  <si>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Digital Realty Trust, Inc. (DLR)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</si>
  <si>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</si>
  <si>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</si>
  <si>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</si>
  <si>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</si>
  <si>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</si>
  <si>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</si>
  <si>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</si>
  <si>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</si>
  <si>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</si>
  <si>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</si>
  <si>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</si>
  <si>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</si>
  <si>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</si>
  <si>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</si>
  <si>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</si>
  <si>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</si>
  <si>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</si>
  <si>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</si>
  <si>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</si>
  <si>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</si>
  <si>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</si>
  <si>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</si>
  <si>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</si>
  <si>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</si>
  <si>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</si>
  <si>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</si>
  <si>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</si>
  <si>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</si>
  <si>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</si>
  <si>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</si>
  <si>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</si>
  <si>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</si>
  <si>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</si>
  <si>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</si>
  <si>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</si>
  <si>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</si>
  <si>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</si>
  <si>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</si>
  <si>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</si>
  <si>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</si>
  <si>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</si>
  <si>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</si>
  <si>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</si>
  <si>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</si>
  <si>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</si>
  <si>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</si>
  <si>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</si>
  <si>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</si>
  <si>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</si>
  <si>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</si>
  <si>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</si>
  <si>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</si>
  <si>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</si>
  <si>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</si>
  <si>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</si>
  <si>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</si>
  <si>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</si>
  <si>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</si>
  <si>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</si>
  <si>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</si>
  <si>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</si>
  <si>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</si>
  <si>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</si>
  <si>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</si>
  <si>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</si>
  <si>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</si>
  <si>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</si>
  <si>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</si>
  <si>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</si>
  <si>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</si>
  <si>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</si>
  <si>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</si>
  <si>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</si>
  <si>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</si>
  <si>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</si>
  <si>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</si>
  <si>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</si>
  <si>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</si>
  <si>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</si>
  <si>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</si>
  <si>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</si>
  <si>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</si>
  <si>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</si>
  <si>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</si>
  <si>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</si>
  <si>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</si>
  <si>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</si>
  <si>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</si>
  <si>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derived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</si>
  <si>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</si>
  <si>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</si>
  <si>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</si>
  <si>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</si>
  <si>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</si>
  <si>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</si>
  <si>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</si>
  <si>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</si>
  <si>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0.00% of revenue, which is too low to be the company's real investment - property trusts and similar structures invest through lines that are not reported as capex. Capex has been set to 31.87%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</si>
  <si>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Current EV/EBITDA of 30.2x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</si>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</sst>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0.09218604990875767</v>
      </c>
    </row>
    <row r="7" spans="1:2" x14ac:dyDescent="0.25">
      <c r="A7" t="s">
        <v>5</v>
      </c>
      <c r="B7" s="6">
        <v>0.14024895781440827</v>
      </c>
    </row>
    <row r="8" spans="1:2" x14ac:dyDescent="0.25">
      <c r="A8" t="s">
        <v>6</v>
      </c>
      <c r="B8" s="6">
        <v>0.07513623993357924</v>
      </c>
    </row>
    <row r="9" spans="1:2" x14ac:dyDescent="0.25">
      <c r="A9" t="s">
        <v>7</v>
      </c>
      <c r="B9" s="6">
        <v>0.31866747784356</v>
      </c>
    </row>
    <row r="10" spans="1:2" x14ac:dyDescent="0.25">
      <c r="A10" t="s">
        <v>8</v>
      </c>
      <c r="B10" s="6">
        <v>0.31866747784356</v>
      </c>
    </row>
    <row r="11" spans="1:2" x14ac:dyDescent="0.25">
      <c r="A11" t="s">
        <v>9</v>
      </c>
      <c r="B11" s="6">
        <v>-0.06680006598245727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0.09298166846813118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1.0247899999999999</v>
      </c>
      <c r="C19" s="8" t="s">
        <v>19</v>
      </c>
    </row>
    <row r="20" spans="1:2" x14ac:dyDescent="0.25">
      <c r="A20" t="s">
        <v>20</v>
      </c>
      <c r="B20" s="10">
        <f>B17+B19*B18</f>
        <v>0.10634345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68780113920</v>
      </c>
    </row>
    <row r="23" spans="1:2" x14ac:dyDescent="0.25">
      <c r="A23" t="s">
        <v>24</v>
      </c>
      <c r="B23" s="11">
        <v>19655352000</v>
      </c>
    </row>
    <row r="24" spans="1:2" x14ac:dyDescent="0.25">
      <c r="A24" t="s">
        <v>25</v>
      </c>
      <c r="B24" s="10">
        <f>B22/(B22+B23)</f>
        <v>0.7777435580225187</v>
      </c>
    </row>
    <row r="25" spans="1:2" x14ac:dyDescent="0.25">
      <c r="A25" t="s">
        <v>26</v>
      </c>
      <c r="B25" s="10">
        <f>1-B24</f>
        <v>0.2222564419774813</v>
      </c>
    </row>
    <row r="26" spans="1:2" x14ac:dyDescent="0.25">
      <c r="A26" t="s">
        <v>27</v>
      </c>
      <c r="B26" s="12">
        <f>B24*B20+B25*B21*(1-B8)</f>
        <v>0.09298166846813118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6112692000</v>
      </c>
      <c r="C29" s="8" t="s">
        <v>30</v>
      </c>
    </row>
    <row r="30" spans="1:2" x14ac:dyDescent="0.25">
      <c r="A30" t="s">
        <v>31</v>
      </c>
      <c r="B30" s="11">
        <v>16203705000</v>
      </c>
    </row>
    <row r="31" spans="1:2" x14ac:dyDescent="0.25">
      <c r="A31" t="s">
        <v>32</v>
      </c>
      <c r="B31" s="13">
        <v>1391240000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0.09218604990875767</v>
      </c>
      <c r="C5" s="10">
        <f>Assumptions!B6</f>
        <v>0.09218604990875767</v>
      </c>
      <c r="D5" s="10">
        <f>Assumptions!B6</f>
        <v>0.09218604990875767</v>
      </c>
      <c r="E5" s="10">
        <f>Assumptions!B6</f>
        <v>0.09218604990875767</v>
      </c>
      <c r="F5" s="10">
        <f>Assumptions!B6</f>
        <v>0.09218604990875767</v>
      </c>
    </row>
    <row r="6" spans="1:6" x14ac:dyDescent="0.25">
      <c r="A6" t="s">
        <v>43</v>
      </c>
      <c r="B6" s="18">
        <f>Assumptions!B29*(1+B5)</f>
        <v>6676196929.788864</v>
      </c>
      <c r="C6" s="18">
        <f>B6*(1+C5)</f>
        <v>7291649153.159075</v>
      </c>
      <c r="D6" s="18">
        <f>C6*(1+D5)</f>
        <v>7963837485.909348</v>
      </c>
      <c r="E6" s="18">
        <f>D6*(1+E5)</f>
        <v>8697992205.850622</v>
      </c>
      <c r="F6" s="18">
        <f>E6*(1+F5)</f>
        <v>9499825749.445152</v>
      </c>
    </row>
    <row r="7" spans="1:6" x14ac:dyDescent="0.25">
      <c r="A7" t="s">
        <v>5</v>
      </c>
      <c r="B7" s="10">
        <f>Assumptions!B7</f>
        <v>0.14024895781440827</v>
      </c>
      <c r="C7" s="10">
        <f>Assumptions!B7</f>
        <v>0.14024895781440827</v>
      </c>
      <c r="D7" s="10">
        <f>Assumptions!B7</f>
        <v>0.14024895781440827</v>
      </c>
      <c r="E7" s="10">
        <f>Assumptions!B7</f>
        <v>0.14024895781440827</v>
      </c>
      <c r="F7" s="10">
        <f>Assumptions!B7</f>
        <v>0.14024895781440827</v>
      </c>
    </row>
    <row r="8" spans="1:6" x14ac:dyDescent="0.25">
      <c r="A8" t="s">
        <v>44</v>
      </c>
      <c r="B8" s="18">
        <f>B6*B7</f>
        <v>936329661.5666404</v>
      </c>
      <c r="C8" s="18">
        <f>C6*C7</f>
        <v>1022646194.4788729</v>
      </c>
      <c r="D8" s="18">
        <f>D6*D7</f>
        <v>1116919907.6021032</v>
      </c>
      <c r="E8" s="18">
        <f>E6*E7</f>
        <v>1219884341.9483957</v>
      </c>
      <c r="F8" s="18">
        <f>F6*F7</f>
        <v>1332340660.7781625</v>
      </c>
    </row>
    <row r="9" spans="1:6" x14ac:dyDescent="0.25">
      <c r="A9" t="s">
        <v>45</v>
      </c>
      <c r="B9" s="18">
        <f>B8*(1-Assumptions!B8)</f>
        <v>865977371.4582423</v>
      </c>
      <c r="C9" s="18">
        <f>C8*(1-Assumptions!B8)</f>
        <v>945808404.6433465</v>
      </c>
      <c r="D9" s="18">
        <f>D8*(1-Assumptions!B8)</f>
        <v>1032998745.4379205</v>
      </c>
      <c r="E9" s="18">
        <f>E8*(1-Assumptions!B8)</f>
        <v>1128226819.3405447</v>
      </c>
      <c r="F9" s="18">
        <f>F8*(1-Assumptions!B8)</f>
        <v>1232233593.216671</v>
      </c>
    </row>
    <row r="10" spans="1:6" x14ac:dyDescent="0.25">
      <c r="A10" t="s">
        <v>46</v>
      </c>
      <c r="B10" s="18">
        <f>B6*Assumptions!B9</f>
        <v>2127486837.202736</v>
      </c>
      <c r="C10" s="18">
        <f>C6*Assumptions!B9</f>
        <v>2323611444.957332</v>
      </c>
      <c r="D10" s="18">
        <f>D6*Assumptions!B9</f>
        <v>2537816005.590729</v>
      </c>
      <c r="E10" s="18">
        <f>E6*Assumptions!B9</f>
        <v>2771767238.5413604</v>
      </c>
      <c r="F10" s="18">
        <f>F6*Assumptions!B9</f>
        <v>3027285511.5289936</v>
      </c>
    </row>
    <row r="11" spans="1:6" x14ac:dyDescent="0.25">
      <c r="A11" t="s">
        <v>47</v>
      </c>
      <c r="B11" s="18">
        <f>-B6*Assumptions!B10</f>
        <v>-2127486837.202736</v>
      </c>
      <c r="C11" s="18">
        <f>-C6*Assumptions!B10</f>
        <v>-2323611444.957332</v>
      </c>
      <c r="D11" s="18">
        <f>-D6*Assumptions!B10</f>
        <v>-2537816005.590729</v>
      </c>
      <c r="E11" s="18">
        <f>-E6*Assumptions!B10</f>
        <v>-2771767238.5413604</v>
      </c>
      <c r="F11" s="18">
        <f>-F6*Assumptions!B10</f>
        <v>-3027285511.5289936</v>
      </c>
    </row>
    <row r="12" spans="1:6" x14ac:dyDescent="0.25">
      <c r="A12" t="s">
        <v>48</v>
      </c>
      <c r="B12" s="18">
        <f>-(B6-Assumptions!B29)*Assumptions!B11</f>
        <v>37642166.49133608</v>
      </c>
      <c r="C12" s="18">
        <f>-(C6-B6)*Assumptions!B11</f>
        <v>41112249.130180106</v>
      </c>
      <c r="D12" s="18">
        <f>-(D6-C6)*Assumptions!B11</f>
        <v>44902224.980356164</v>
      </c>
      <c r="E12" s="18">
        <f>-(E6-D6)*Assumptions!B11</f>
        <v>49041583.73340958</v>
      </c>
      <c r="F12" s="18">
        <f>-(F6-E6)*Assumptions!B11</f>
        <v>53562533.61906214</v>
      </c>
    </row>
    <row r="13" spans="1:6" x14ac:dyDescent="0.25">
      <c r="A13" s="19" t="s">
        <v>49</v>
      </c>
      <c r="B13" s="20">
        <f>B9+B10+B11+B12</f>
        <v>903619537.9495785</v>
      </c>
      <c r="C13" s="20">
        <f>C9+C10+C11+C12</f>
        <v>986920653.7735264</v>
      </c>
      <c r="D13" s="20">
        <f>D9+D10+D11+D12</f>
        <v>1077900970.4182768</v>
      </c>
      <c r="E13" s="20">
        <f>E9+E10+E11+E12</f>
        <v>1177268403.0739543</v>
      </c>
      <c r="F13" s="20">
        <f>F9+F10+F11+F12</f>
        <v>1285796126.8357332</v>
      </c>
    </row>
    <row r="14" spans="1:6" x14ac:dyDescent="0.25">
      <c r="A14" t="s">
        <v>50</v>
      </c>
      <c r="B14" s="21">
        <f>1/(1+Assumptions!$B$26)^(1-0.5*Assumptions!$B$32)</f>
        <v>0.9565189115828236</v>
      </c>
      <c r="C14" s="21">
        <f>1/(1+Assumptions!$B$26)^(2-0.5*Assumptions!$B$32)</f>
        <v>0.8751463443329593</v>
      </c>
      <c r="D14" s="21">
        <f>1/(1+Assumptions!$B$26)^(3-0.5*Assumptions!$B$32)</f>
        <v>0.8006962692791736</v>
      </c>
      <c r="E14" s="21">
        <f>1/(1+Assumptions!$B$26)^(4-0.5*Assumptions!$B$32)</f>
        <v>0.7325797791296809</v>
      </c>
      <c r="F14" s="21">
        <f>1/(1+Assumptions!$B$26)^(5-0.5*Assumptions!$B$32)</f>
        <v>0.6702580658616427</v>
      </c>
    </row>
    <row r="15" spans="1:6" x14ac:dyDescent="0.25">
      <c r="A15" s="19" t="s">
        <v>51</v>
      </c>
      <c r="B15" s="20">
        <f>B13*B14</f>
        <v>864329176.9245049</v>
      </c>
      <c r="C15" s="20">
        <f>C13*C14</f>
        <v>863700002.2965959</v>
      </c>
      <c r="D15" s="20">
        <f>D13*D14</f>
        <v>863071285.6663151</v>
      </c>
      <c r="E15" s="20">
        <f>E13*E14</f>
        <v>862443026.7002696</v>
      </c>
      <c r="F15" s="20">
        <f>F13*F14</f>
        <v>861815225.06531</v>
      </c>
    </row>
    <row r="17" spans="1:2" x14ac:dyDescent="0.25">
      <c r="A17" s="22" t="s">
        <v>52</v>
      </c>
      <c r="B17" s="23">
        <f>SUM(B15:F15)</f>
        <v>4315358716.652996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1285796126.8357332</v>
      </c>
    </row>
    <row r="5" spans="1:2" x14ac:dyDescent="0.25">
      <c r="A5" t="s">
        <v>56</v>
      </c>
      <c r="B5" s="18">
        <f>IF(Assumptions!$B$33=0,B4,B4-Forecast!F11-Forecast!F10-Forecast!F12)</f>
        <v>1232233593.216671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0.268870202179353</v>
      </c>
    </row>
    <row r="7" spans="1:2" x14ac:dyDescent="0.25">
      <c r="A7" t="s">
        <v>58</v>
      </c>
      <c r="B7" s="18">
        <f>-MAX(Forecast!F9,0)*B6</f>
        <v>-331310895.34035695</v>
      </c>
    </row>
    <row r="8" spans="1:2" x14ac:dyDescent="0.25">
      <c r="A8" t="s">
        <v>59</v>
      </c>
      <c r="B8" s="18">
        <f>IF(OR(Assumptions!$B$33=0,Assumptions!B12&lt;=0),B5,MAX(B5+B7,0))</f>
        <v>900922697.876314</v>
      </c>
    </row>
    <row r="9" spans="1:2" x14ac:dyDescent="0.25">
      <c r="A9" t="s">
        <v>60</v>
      </c>
      <c r="B9" s="18">
        <f>B8*(1+Assumptions!B12)/(Assumptions!B26-Assumptions!B12)</f>
        <v>13583746708.954634</v>
      </c>
    </row>
    <row r="10" spans="1:2" x14ac:dyDescent="0.25">
      <c r="A10" t="s">
        <v>61</v>
      </c>
      <c r="B10" s="18">
        <f>B9/(1+Assumptions!B26)^(5-0.5*Assumptions!B32)</f>
        <v>9104615796.298388</v>
      </c>
    </row>
    <row r="11" spans="1:2" x14ac:dyDescent="0.25">
      <c r="A11" t="s">
        <v>62</v>
      </c>
      <c r="B11" s="18">
        <f>Forecast!B17+B10</f>
        <v>13419974512.951384</v>
      </c>
    </row>
    <row r="12" spans="1:2" x14ac:dyDescent="0.25">
      <c r="A12" t="s">
        <v>63</v>
      </c>
      <c r="B12" s="18">
        <f>-Assumptions!B30</f>
        <v>-16203705000</v>
      </c>
    </row>
    <row r="13" spans="1:2" x14ac:dyDescent="0.25">
      <c r="A13" t="s">
        <v>64</v>
      </c>
      <c r="B13" s="18">
        <f>B11+B12</f>
        <v>-2783730487.0486164</v>
      </c>
    </row>
    <row r="14" spans="1:2" x14ac:dyDescent="0.25">
      <c r="A14" s="19" t="s">
        <v>65</v>
      </c>
      <c r="B14" s="24">
        <f>B13/Assumptions!B31</f>
        <v>-2.0008988291370406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4359626172.307156</v>
      </c>
    </row>
    <row r="18" spans="1:2" x14ac:dyDescent="0.25">
      <c r="A18" t="s">
        <v>60</v>
      </c>
      <c r="B18" s="18">
        <f>B17*Assumptions!B13</f>
        <v>87192523446.14311</v>
      </c>
    </row>
    <row r="19" spans="1:2" x14ac:dyDescent="0.25">
      <c r="A19" t="s">
        <v>61</v>
      </c>
      <c r="B19" s="18">
        <f>B18/(1+Assumptions!B26)^(5-0.5*Assumptions!B32)</f>
        <v>58441492122.60782</v>
      </c>
    </row>
    <row r="20" spans="1:2" x14ac:dyDescent="0.25">
      <c r="A20" t="s">
        <v>62</v>
      </c>
      <c r="B20" s="18">
        <f>Forecast!B17+B19</f>
        <v>62756850839.26082</v>
      </c>
    </row>
    <row r="21" spans="1:2" x14ac:dyDescent="0.25">
      <c r="A21" t="s">
        <v>63</v>
      </c>
      <c r="B21" s="18">
        <f>-Assumptions!B30</f>
        <v>-16203705000</v>
      </c>
    </row>
    <row r="22" spans="1:2" x14ac:dyDescent="0.25">
      <c r="A22" t="s">
        <v>64</v>
      </c>
      <c r="B22" s="18">
        <f>B20+B21</f>
        <v>46553145839.26082</v>
      </c>
    </row>
    <row r="23" spans="1:2" x14ac:dyDescent="0.25">
      <c r="A23" s="19" t="s">
        <v>65</v>
      </c>
      <c r="B23" s="25">
        <f>B22/Assumptions!B31</f>
        <v>33.46162117194792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182.12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-2.0008988291370406</v>
      </c>
    </row>
    <row r="29" spans="1:2" x14ac:dyDescent="0.25">
      <c r="A29" s="19" t="s">
        <v>73</v>
      </c>
      <c r="B29" s="12">
        <f>B28/B26-1</f>
        <v>-1.0109867056289097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0.072982</v>
      </c>
      <c r="B5" s="31">
        <v>0.5741540394558071</v>
      </c>
      <c r="C5" s="31">
        <v>0.6183496632823737</v>
      </c>
      <c r="D5" s="31">
        <v>0.662545287108943</v>
      </c>
      <c r="E5" s="31">
        <v>0.706740910935511</v>
      </c>
      <c r="F5" s="31">
        <v>0.7509365347620789</v>
      </c>
    </row>
    <row r="6" spans="1:6" x14ac:dyDescent="0.25">
      <c r="A6" s="30">
        <v>0.082982</v>
      </c>
      <c r="B6" s="31">
        <v>-0.9048829265996382</v>
      </c>
      <c r="C6" s="31">
        <v>-0.8676024442755947</v>
      </c>
      <c r="D6" s="31">
        <v>-0.8303219619515526</v>
      </c>
      <c r="E6" s="31">
        <v>-0.7930414796275077</v>
      </c>
      <c r="F6" s="31">
        <v>-0.755760997303467</v>
      </c>
    </row>
    <row r="7" spans="1:6" x14ac:dyDescent="0.25">
      <c r="A7" s="30">
        <v>0.092982</v>
      </c>
      <c r="B7" s="31">
        <v>-2.0647794270202833</v>
      </c>
      <c r="C7" s="31">
        <v>-2.032856436735354</v>
      </c>
      <c r="D7" s="32">
        <v>-2.000933446450424</v>
      </c>
      <c r="E7" s="31">
        <v>-1.9690104561654973</v>
      </c>
      <c r="F7" s="31">
        <v>-1.9370874658805677</v>
      </c>
    </row>
    <row r="8" spans="1:6" x14ac:dyDescent="0.25">
      <c r="A8" s="30">
        <v>0.102982</v>
      </c>
      <c r="B8" s="31">
        <v>-2.9985440317154204</v>
      </c>
      <c r="C8" s="31">
        <v>-2.9708783256659346</v>
      </c>
      <c r="D8" s="31">
        <v>-2.9432126196164514</v>
      </c>
      <c r="E8" s="31">
        <v>-2.9155469135669665</v>
      </c>
      <c r="F8" s="31">
        <v>-2.8878812075174833</v>
      </c>
    </row>
    <row r="9" spans="1:6" x14ac:dyDescent="0.25">
      <c r="A9" s="30">
        <v>0.112982</v>
      </c>
      <c r="B9" s="31">
        <v>-3.766254984172787</v>
      </c>
      <c r="C9" s="31">
        <v>-3.7420416217937897</v>
      </c>
      <c r="D9" s="31">
        <v>-3.717828259414792</v>
      </c>
      <c r="E9" s="31">
        <v>-3.6936148970357934</v>
      </c>
      <c r="F9" s="31">
        <v>-3.6694015346567967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6112692000</v>
      </c>
      <c r="C5" s="18">
        <v>5554968000</v>
      </c>
      <c r="D5" s="18">
        <v>5477061000</v>
      </c>
      <c r="E5" s="18">
        <v>4691834000</v>
      </c>
      <c r="F5" s="8" t="s">
        <v>84</v>
      </c>
    </row>
    <row r="6" spans="1:6" x14ac:dyDescent="0.25">
      <c r="A6" t="s">
        <v>44</v>
      </c>
      <c r="B6" s="18">
        <v>922135000</v>
      </c>
      <c r="C6" s="18">
        <v>756950000</v>
      </c>
      <c r="D6" s="18">
        <v>727546000</v>
      </c>
      <c r="E6" s="18">
        <v>661734000</v>
      </c>
      <c r="F6" s="8" t="s">
        <v>85</v>
      </c>
    </row>
    <row r="7" spans="1:6" x14ac:dyDescent="0.25">
      <c r="A7" t="s">
        <v>86</v>
      </c>
      <c r="B7" s="18">
        <v>1894636000</v>
      </c>
      <c r="C7" s="18">
        <v>1771797000</v>
      </c>
      <c r="D7" s="18">
        <v>1694859000</v>
      </c>
      <c r="E7" s="18">
        <v>1577933000</v>
      </c>
      <c r="F7" s="8" t="s">
        <v>87</v>
      </c>
    </row>
    <row r="8" spans="1:6" x14ac:dyDescent="0.25">
      <c r="A8" t="s">
        <v>88</v>
      </c>
      <c r="B8" s="18">
        <v>0</v>
      </c>
      <c r="C8" s="18">
        <v>0</v>
      </c>
      <c r="D8" s="18">
        <v>0</v>
      </c>
      <c r="E8" s="18">
        <v>0</v>
      </c>
      <c r="F8" s="8" t="s">
        <v>89</v>
      </c>
    </row>
    <row r="9" spans="1:6" x14ac:dyDescent="0.25">
      <c r="A9" t="s">
        <v>90</v>
      </c>
      <c r="B9" s="18">
        <v>-37256000</v>
      </c>
      <c r="C9" s="18">
        <v>-24672000</v>
      </c>
      <c r="D9" s="18">
        <v>379751000</v>
      </c>
      <c r="E9" s="18">
        <v>230338000</v>
      </c>
      <c r="F9" s="8" t="s">
        <v>91</v>
      </c>
    </row>
    <row r="10" spans="1:6" x14ac:dyDescent="0.25">
      <c r="A10" t="s">
        <v>92</v>
      </c>
      <c r="B10" s="18">
        <v>19655352000</v>
      </c>
      <c r="C10" s="18">
        <v>18008596000</v>
      </c>
      <c r="D10" s="18">
        <v>18968001000</v>
      </c>
      <c r="E10" s="18">
        <v>18067847000</v>
      </c>
      <c r="F10" s="8" t="s">
        <v>93</v>
      </c>
    </row>
    <row r="11" spans="1:6" x14ac:dyDescent="0.25">
      <c r="A11" t="s">
        <v>94</v>
      </c>
      <c r="B11" s="18">
        <v>3451647000</v>
      </c>
      <c r="C11" s="18">
        <v>3870891000</v>
      </c>
      <c r="D11" s="18">
        <v>1625495000</v>
      </c>
      <c r="E11" s="18">
        <v>141773000</v>
      </c>
      <c r="F11" s="8" t="s">
        <v>95</v>
      </c>
    </row>
    <row r="12" spans="1:6" x14ac:dyDescent="0.25">
      <c r="A12" t="s">
        <v>32</v>
      </c>
      <c r="B12" s="34">
        <v>1391240000</v>
      </c>
      <c r="C12" s="34">
        <v>1326188000</v>
      </c>
      <c r="D12" s="34">
        <v>1236260000</v>
      </c>
      <c r="E12" s="34">
        <v>1191676000</v>
      </c>
      <c r="F12" s="8" t="s">
        <v>96</v>
      </c>
    </row>
    <row r="15" spans="1:1" x14ac:dyDescent="0.25">
      <c r="A15" s="19" t="s">
        <v>97</v>
      </c>
    </row>
    <row r="16" ht="86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2026-09-19T00:06:43Z</dcterms:modified>
</cp:coreProperties>
</file>