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<sst xmlns="http://schemas.openxmlformats.org/spreadsheetml/2006/main" count="122" uniqueCount="109">
  <si>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Digital Realty Trust, Inc. (DLR)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</si>
  <si>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</si>
  <si>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</si>
  <si>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</si>
  <si>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</si>
  <si>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</si>
  <si>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</si>
  <si>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</si>
  <si>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</si>
  <si>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</si>
  <si>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</si>
  <si>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</si>
  <si>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</si>
  <si>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</si>
  <si>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</si>
  <si>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</si>
  <si>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</si>
  <si>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</si>
  <si>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</si>
  <si>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</si>
  <si>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</si>
  <si>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</si>
  <si>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</si>
  <si>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</si>
  <si>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2.1x interest cover. Book interest / average debt was lower, at 2.3%.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</si>
  <si>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</si>
  <si>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</si>
  <si>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</si>
  <si>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</si>
  <si>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</si>
  <si>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</si>
  <si>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</si>
  <si>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</si>
  <si>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</si>
  <si>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</si>
  <si>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</si>
  <si>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</si>
  <si>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</si>
  <si>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</si>
  <si>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</si>
  <si>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</si>
  <si>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</si>
  <si>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</si>
  <si>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</si>
  <si>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</si>
  <si>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</si>
  <si>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</si>
  <si>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</si>
  <si>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</si>
  <si>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</si>
  <si>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</si>
  <si>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</si>
  <si>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</si>
  <si>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</si>
  <si>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</si>
  <si>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</si>
  <si>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</si>
  <si>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</si>
  <si>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</si>
  <si>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</si>
  <si>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</si>
  <si>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</si>
  <si>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</si>
  <si>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</si>
  <si>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</si>
  <si>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</si>
  <si>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</si>
  <si>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</si>
  <si>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</si>
  <si>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</si>
  <si>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</si>
  <si>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</si>
  <si>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</si>
  <si>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</si>
  <si>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</si>
  <si>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</si>
  <si>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</si>
  <si>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</si>
  <si>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</si>
  <si>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</si>
  <si>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</si>
  <si>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</si>
  <si>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</si>
  <si>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</si>
  <si>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</si>
  <si>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</si>
  <si>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</si>
  <si>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</si>
  <si>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</si>
  <si>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</si>
  <si>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</si>
  <si>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</si>
  <si>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</si>
  <si>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</si>
  <si>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</si>
  <si>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</si>
  <si>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</si>
  <si>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</si>
  <si>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</si>
  <si>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</si>
  <si>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</si>
  <si>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</si>
  <si>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</si>
  <si>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</si>
  <si>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</si>
  <si>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0.9%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</si>
  <si>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Reported capital expenditure averages just 0.00% of revenue, which is too low to be the company's real investment - property trusts and similar structures invest through lines that are not reported as capex. Capex has been set to 31.87%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</si>
  <si>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30.0x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</si>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</sst>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0.18616307021521772</v>
      </c>
    </row>
    <row r="7" spans="1:2" x14ac:dyDescent="0.25">
      <c r="A7" t="s">
        <v>4</v>
      </c>
      <c r="B7" s="5">
        <v>0.14024895781440827</v>
      </c>
    </row>
    <row r="8" spans="1:2" x14ac:dyDescent="0.25">
      <c r="A8" t="s">
        <v>5</v>
      </c>
      <c r="B8" s="5">
        <v>0.07513623993357924</v>
      </c>
    </row>
    <row r="9" spans="1:2" x14ac:dyDescent="0.25">
      <c r="A9" t="s">
        <v>6</v>
      </c>
      <c r="B9" s="5">
        <v>0.31866747784356</v>
      </c>
    </row>
    <row r="10" spans="1:3" x14ac:dyDescent="0.25">
      <c r="A10" t="s">
        <v>7</v>
      </c>
      <c r="B10" s="5">
        <v>0.31866747784356</v>
      </c>
      <c r="C10" s="6" t="s">
        <v>8</v>
      </c>
    </row>
    <row r="11" spans="1:2" x14ac:dyDescent="0.25">
      <c r="A11" t="s">
        <v>9</v>
      </c>
      <c r="B11" s="5">
        <v>-0.2304630168474729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0.08500629587636133</v>
      </c>
      <c r="C14" s="6" t="s">
        <v>13</v>
      </c>
    </row>
    <row r="15" spans="1:3" x14ac:dyDescent="0.25">
      <c r="A15" t="s">
        <v>14</v>
      </c>
      <c r="B15" s="5">
        <v>0.31866747784356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1.0073699999999999</v>
      </c>
      <c r="C19" s="6" t="s">
        <v>21</v>
      </c>
    </row>
    <row r="20" spans="1:2" x14ac:dyDescent="0.25">
      <c r="A20" t="s">
        <v>22</v>
      </c>
      <c r="B20" s="9">
        <f>B17+B19*B18</f>
        <v>0.09155175099999999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68243832832</v>
      </c>
    </row>
    <row r="23" spans="1:2" x14ac:dyDescent="0.25">
      <c r="A23" t="s">
        <v>26</v>
      </c>
      <c r="B23" s="10">
        <v>19655352000</v>
      </c>
    </row>
    <row r="24" spans="1:2" x14ac:dyDescent="0.25">
      <c r="A24" t="s">
        <v>27</v>
      </c>
      <c r="B24" s="9">
        <f>B22/(B22+B23)</f>
        <v>0.7763875508337547</v>
      </c>
    </row>
    <row r="25" spans="1:2" x14ac:dyDescent="0.25">
      <c r="A25" t="s">
        <v>28</v>
      </c>
      <c r="B25" s="9">
        <f>1-B24</f>
        <v>0.22361244916624534</v>
      </c>
    </row>
    <row r="26" spans="1:2" x14ac:dyDescent="0.25">
      <c r="A26" t="s">
        <v>29</v>
      </c>
      <c r="B26" s="11">
        <f>B24*B20+B25*B21*(1-B8)</f>
        <v>0.08500629587636133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6112692000</v>
      </c>
      <c r="C29" s="6" t="s">
        <v>32</v>
      </c>
    </row>
    <row r="30" spans="1:2" x14ac:dyDescent="0.25">
      <c r="A30" t="s">
        <v>33</v>
      </c>
      <c r="B30" s="10">
        <v>16203705000</v>
      </c>
    </row>
    <row r="31" spans="1:2" x14ac:dyDescent="0.25">
      <c r="A31" t="s">
        <v>34</v>
      </c>
      <c r="B31" s="12">
        <v>1391240000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0.18616307021521772</v>
      </c>
      <c r="C5" s="5">
        <v>0.11314785921847714</v>
      </c>
      <c r="D5" s="5">
        <v>0.1021293768161675</v>
      </c>
      <c r="E5" s="5">
        <v>0.09111089441385786</v>
      </c>
      <c r="F5" s="5">
        <v>0.08009241201154821</v>
      </c>
      <c r="G5" s="5">
        <v>0.06907392960923857</v>
      </c>
      <c r="H5" s="5">
        <v>0.05805544720692893</v>
      </c>
      <c r="I5" s="5">
        <v>0.047036964804619275</v>
      </c>
      <c r="J5" s="5">
        <v>0.036018482402309634</v>
      </c>
      <c r="K5" s="5">
        <v>0.024999999999999994</v>
      </c>
    </row>
    <row r="6" spans="1:11" x14ac:dyDescent="0.25">
      <c r="A6" t="s">
        <v>50</v>
      </c>
      <c r="B6" s="18">
        <f>Assumptions!B29*(1+B5)</f>
        <v>7250649510</v>
      </c>
      <c r="C6" s="18">
        <f>B6*(1+C5)</f>
        <v>8071044980</v>
      </c>
      <c r="D6" s="18">
        <f>C6*(1+D5)</f>
        <v>8895335774.062656</v>
      </c>
      <c r="E6" s="18">
        <f>D6*(1+E5)</f>
        <v>9705797772.549091</v>
      </c>
      <c r="F6" s="18">
        <f>E6*(1+F5)</f>
        <v>10483158526.64886</v>
      </c>
      <c r="G6" s="18">
        <f>F6*(1+G5)</f>
        <v>11207271480.801094</v>
      </c>
      <c r="H6" s="18">
        <f>G6*(1+H5)</f>
        <v>11857914638.588463</v>
      </c>
      <c r="I6" s="18">
        <f>H6*(1+I5)</f>
        <v>12415674952.099926</v>
      </c>
      <c r="J6" s="18">
        <f>I6*(1+J5)</f>
        <v>12862868721.874933</v>
      </c>
      <c r="K6" s="18">
        <f>J6*(1+K5)</f>
        <v>13184440439.921806</v>
      </c>
    </row>
    <row r="7" spans="1:11" x14ac:dyDescent="0.25">
      <c r="A7" t="s">
        <v>4</v>
      </c>
      <c r="B7" s="9">
        <f>Assumptions!B7</f>
        <v>0.14024895781440827</v>
      </c>
      <c r="C7" s="9">
        <f>Assumptions!B7</f>
        <v>0.14024895781440827</v>
      </c>
      <c r="D7" s="9">
        <f>Assumptions!B7</f>
        <v>0.14024895781440827</v>
      </c>
      <c r="E7" s="9">
        <f>Assumptions!B7</f>
        <v>0.14024895781440827</v>
      </c>
      <c r="F7" s="9">
        <f>Assumptions!B7</f>
        <v>0.14024895781440827</v>
      </c>
      <c r="G7" s="9">
        <f>Assumptions!B7</f>
        <v>0.14024895781440827</v>
      </c>
      <c r="H7" s="9">
        <f>Assumptions!B7</f>
        <v>0.14024895781440827</v>
      </c>
      <c r="I7" s="9">
        <f>Assumptions!B7</f>
        <v>0.14024895781440827</v>
      </c>
      <c r="J7" s="9">
        <f>Assumptions!B7</f>
        <v>0.14024895781440827</v>
      </c>
      <c r="K7" s="9">
        <f>Assumptions!B7</f>
        <v>0.14024895781440827</v>
      </c>
    </row>
    <row r="8" spans="1:11" x14ac:dyDescent="0.25">
      <c r="A8" t="s">
        <v>51</v>
      </c>
      <c r="B8" s="18">
        <f>B6*B7</f>
        <v>1016896037.25505</v>
      </c>
      <c r="C8" s="18">
        <f>C6*C7</f>
        <v>1131955646.9182117</v>
      </c>
      <c r="D8" s="18">
        <f>D6*D7</f>
        <v>1247561571.7215102</v>
      </c>
      <c r="E8" s="18">
        <f>E6*E7</f>
        <v>1361228022.3574152</v>
      </c>
      <c r="F8" s="18">
        <f>F6*F7</f>
        <v>1470252057.9657304</v>
      </c>
      <c r="G8" s="18">
        <f>G6*G7</f>
        <v>1571808145.1254935</v>
      </c>
      <c r="H8" s="18">
        <f>H6*H7</f>
        <v>1663060169.9142475</v>
      </c>
      <c r="I8" s="18">
        <f>I6*I7</f>
        <v>1741285472.5944679</v>
      </c>
      <c r="J8" s="18">
        <f>J6*J7</f>
        <v>1804003932.746509</v>
      </c>
      <c r="K8" s="18">
        <f>K6*K7</f>
        <v>1849104031.0651717</v>
      </c>
    </row>
    <row r="9" spans="1:11" x14ac:dyDescent="0.25">
      <c r="A9" t="s">
        <v>52</v>
      </c>
      <c r="B9" s="18">
        <f>B8*(1-Assumptions!B8)</f>
        <v>940490292.6123486</v>
      </c>
      <c r="C9" s="18">
        <f>C8*(1-Assumptions!B8)</f>
        <v>1046904755.837195</v>
      </c>
      <c r="D9" s="18">
        <f>D8*(1-Assumptions!B8)</f>
        <v>1153824486.1367297</v>
      </c>
      <c r="E9" s="18">
        <f>E8*(1-Assumptions!B8)</f>
        <v>1258950467.0652568</v>
      </c>
      <c r="F9" s="18">
        <f>F8*(1-Assumptions!B8)</f>
        <v>1359782846.5755787</v>
      </c>
      <c r="G9" s="18">
        <f>G8*(1-Assumptions!B8)</f>
        <v>1453708391.2037904</v>
      </c>
      <c r="H9" s="18">
        <f>H8*(1-Assumptions!B8)</f>
        <v>1538104081.9635916</v>
      </c>
      <c r="I9" s="18">
        <f>I8*(1-Assumptions!B8)</f>
        <v>1610451829.5327542</v>
      </c>
      <c r="J9" s="18">
        <f>J8*(1-Assumptions!B8)</f>
        <v>1668457860.414547</v>
      </c>
      <c r="K9" s="18">
        <f>K8*(1-Assumptions!B8)</f>
        <v>1710169306.9249105</v>
      </c>
    </row>
    <row r="10" spans="1:11" x14ac:dyDescent="0.25">
      <c r="A10" t="s">
        <v>53</v>
      </c>
      <c r="B10" s="18">
        <f>B6*Assumptions!B9</f>
        <v>2310546192.079344</v>
      </c>
      <c r="C10" s="18">
        <f>C6*Assumptions!B9</f>
        <v>2571979547.338526</v>
      </c>
      <c r="D10" s="18">
        <f>D6*Assumptions!B9</f>
        <v>2834654215.692138</v>
      </c>
      <c r="E10" s="18">
        <f>E6*Assumptions!B9</f>
        <v>3092922096.6378613</v>
      </c>
      <c r="F10" s="18">
        <f>F6*Assumptions!B9</f>
        <v>3340641687.521403</v>
      </c>
      <c r="G10" s="18">
        <f>G6*Assumptions!B9</f>
        <v>3571392936.2949443</v>
      </c>
      <c r="H10" s="18">
        <f>H6*Assumptions!B9</f>
        <v>3778731750.3632145</v>
      </c>
      <c r="I10" s="18">
        <f>I6*Assumptions!B9</f>
        <v>3956471822.711146</v>
      </c>
      <c r="J10" s="18">
        <f>J6*Assumptions!B9</f>
        <v>4098977933.432701</v>
      </c>
      <c r="K10" s="18">
        <f>K6*Assumptions!B9</f>
        <v>4201452381.7685184</v>
      </c>
    </row>
    <row r="11" spans="1:11" x14ac:dyDescent="0.25">
      <c r="A11" t="s">
        <v>54</v>
      </c>
      <c r="B11" s="18">
        <f>-B6*B19</f>
        <v>-2310546192.079344</v>
      </c>
      <c r="C11" s="18">
        <f>-C6*C19</f>
        <v>-2606189587.1506844</v>
      </c>
      <c r="D11" s="18">
        <f>-D6*D19</f>
        <v>-2910061995.4101987</v>
      </c>
      <c r="E11" s="18">
        <f>-E6*E19</f>
        <v>-3216339471.598766</v>
      </c>
      <c r="F11" s="18">
        <f>-F6*F19</f>
        <v>-3518377914.462279</v>
      </c>
      <c r="G11" s="18">
        <f>-G6*G19</f>
        <v>-3808909394.5069466</v>
      </c>
      <c r="H11" s="18">
        <f>-H6*H19</f>
        <v>-4080298449.2582216</v>
      </c>
      <c r="I11" s="18">
        <f>-I6*I19</f>
        <v>-4324848550.657852</v>
      </c>
      <c r="J11" s="18">
        <f>-J6*J19</f>
        <v>-4535143760.449472</v>
      </c>
      <c r="K11" s="18">
        <f>-K6*K19</f>
        <v>-4704406101.047233</v>
      </c>
    </row>
    <row r="12" spans="1:11" x14ac:dyDescent="0.25">
      <c r="A12" t="s">
        <v>55</v>
      </c>
      <c r="B12" s="18">
        <f>-(B6-Assumptions!B29)*Assumptions!B11</f>
        <v>262257120.7988383</v>
      </c>
      <c r="C12" s="18">
        <f>-(C6-B6)*Assumptions!B11</f>
        <v>189070815.02420044</v>
      </c>
      <c r="D12" s="18">
        <f>-(D6-C6)*Assumptions!B11</f>
        <v>189968543.15927878</v>
      </c>
      <c r="E12" s="18">
        <f>-(E6-D6)*Assumptions!B11</f>
        <v>186781517.2114158</v>
      </c>
      <c r="F12" s="18">
        <f>-(F6-E6)*Assumptions!B11</f>
        <v>179152904.56865942</v>
      </c>
      <c r="G12" s="18">
        <f>-(G6-F6)*Assumptions!B11</f>
        <v>166881255.95225948</v>
      </c>
      <c r="H12" s="18">
        <f>-(H6-G6)*Assumptions!B11</f>
        <v>149949185.03484333</v>
      </c>
      <c r="I12" s="18">
        <f>-(I6-H6)*Assumptions!B11</f>
        <v>128543124.5296441</v>
      </c>
      <c r="J12" s="18">
        <f>-(J6-I6)*Assumptions!B11</f>
        <v>103061625.29774241</v>
      </c>
      <c r="K12" s="18">
        <f>-(K6-J6)*Assumptions!B11</f>
        <v>74110388.27390732</v>
      </c>
    </row>
    <row r="13" spans="1:11" x14ac:dyDescent="0.25">
      <c r="A13" s="19" t="s">
        <v>56</v>
      </c>
      <c r="B13" s="20">
        <f>B9+B10+B11+B12</f>
        <v>1202747413.411187</v>
      </c>
      <c r="C13" s="20">
        <f>C9+C10+C11+C12</f>
        <v>1201765531.0492368</v>
      </c>
      <c r="D13" s="20">
        <f>D9+D10+D11+D12</f>
        <v>1268385249.577948</v>
      </c>
      <c r="E13" s="20">
        <f>E9+E10+E11+E12</f>
        <v>1322314609.3157682</v>
      </c>
      <c r="F13" s="20">
        <f>F9+F10+F11+F12</f>
        <v>1361199524.2033615</v>
      </c>
      <c r="G13" s="20">
        <f>G9+G10+G11+G12</f>
        <v>1383073188.9440475</v>
      </c>
      <c r="H13" s="20">
        <f>H9+H10+H11+H12</f>
        <v>1386486568.103428</v>
      </c>
      <c r="I13" s="20">
        <f>I9+I10+I11+I12</f>
        <v>1370618226.1156921</v>
      </c>
      <c r="J13" s="20">
        <f>J9+J10+J11+J12</f>
        <v>1335353658.695518</v>
      </c>
      <c r="K13" s="20">
        <f>K9+K10+K11+K12</f>
        <v>1281325975.9201038</v>
      </c>
    </row>
    <row r="14" spans="1:11" x14ac:dyDescent="0.25">
      <c r="A14" t="s">
        <v>57</v>
      </c>
      <c r="B14" s="21">
        <f>1/(1+Assumptions!$B$26)^(1-0.5*Assumptions!$B$32)</f>
        <v>0.9600279361251357</v>
      </c>
      <c r="C14" s="21">
        <f>1/(1+Assumptions!$B$26)^(2-0.5*Assumptions!$B$32)</f>
        <v>0.8848132400464274</v>
      </c>
      <c r="D14" s="21">
        <f>1/(1+Assumptions!$B$26)^(3-0.5*Assumptions!$B$32)</f>
        <v>0.8154913417638395</v>
      </c>
      <c r="E14" s="21">
        <f>1/(1+Assumptions!$B$26)^(4-0.5*Assumptions!$B$32)</f>
        <v>0.7516005620088737</v>
      </c>
      <c r="F14" s="21">
        <f>1/(1+Assumptions!$B$26)^(5-0.5*Assumptions!$B$32)</f>
        <v>0.692715392404064</v>
      </c>
      <c r="G14" s="21">
        <f>1/(1+Assumptions!$B$26)^(6-0.5*Assumptions!$B$32)</f>
        <v>0.6384436616052598</v>
      </c>
      <c r="H14" s="21">
        <f>1/(1+Assumptions!$B$26)^(7-0.5*Assumptions!$B$32)</f>
        <v>0.58842392346635</v>
      </c>
      <c r="I14" s="21">
        <f>1/(1+Assumptions!$B$26)^(8-0.5*Assumptions!$B$32)</f>
        <v>0.542323049831779</v>
      </c>
      <c r="J14" s="21">
        <f>1/(1+Assumptions!$B$26)^(9-0.5*Assumptions!$B$32)</f>
        <v>0.4998340119250127</v>
      </c>
      <c r="K14" s="21">
        <f>1/(1+Assumptions!$B$26)^(10-0.5*Assumptions!$B$32)</f>
        <v>0.460673835557144</v>
      </c>
    </row>
    <row r="15" spans="1:11" x14ac:dyDescent="0.25">
      <c r="A15" s="19" t="s">
        <v>58</v>
      </c>
      <c r="B15" s="20">
        <f>B13*B14</f>
        <v>1154671116.9769871</v>
      </c>
      <c r="C15" s="20">
        <f>C13*C14</f>
        <v>1063338053.3037906</v>
      </c>
      <c r="D15" s="20">
        <f>D13*D14</f>
        <v>1034357189.0517833</v>
      </c>
      <c r="E15" s="20">
        <f>E13*E14</f>
        <v>993852403.5142757</v>
      </c>
      <c r="F15" s="20">
        <f>F13*F14</f>
        <v>942923862.5487567</v>
      </c>
      <c r="G15" s="20">
        <f>G13*G14</f>
        <v>883014311.017501</v>
      </c>
      <c r="H15" s="20">
        <f>H13*H14</f>
        <v>815841866.2368137</v>
      </c>
      <c r="I15" s="20">
        <f>I13*I14</f>
        <v>743317856.542085</v>
      </c>
      <c r="J15" s="20">
        <f>J13*J14</f>
        <v>667455176.5645249</v>
      </c>
      <c r="K15" s="20">
        <f>K13*K14</f>
        <v>590273351.9261149</v>
      </c>
    </row>
    <row r="17" spans="1:2" x14ac:dyDescent="0.25">
      <c r="A17" s="22" t="s">
        <v>59</v>
      </c>
      <c r="B17" s="23">
        <f>SUM(B15:K15)</f>
        <v>8889045187.682632</v>
      </c>
    </row>
    <row r="19" spans="1:11" x14ac:dyDescent="0.25">
      <c r="A19" t="s">
        <v>7</v>
      </c>
      <c r="B19" s="9">
        <f>Assumptions!$B$10+($B$20-Assumptions!$B$10)*0/9</f>
        <v>0.31866747784356</v>
      </c>
      <c r="C19" s="9">
        <f>Assumptions!$B$10+($B$20-Assumptions!$B$10)*1/9</f>
        <v>0.3229060912941021</v>
      </c>
      <c r="D19" s="9">
        <f>Assumptions!$B$10+($B$20-Assumptions!$B$10)*2/9</f>
        <v>0.3271447047446442</v>
      </c>
      <c r="E19" s="9">
        <f>Assumptions!$B$10+($B$20-Assumptions!$B$10)*3/9</f>
        <v>0.3313833181951863</v>
      </c>
      <c r="F19" s="9">
        <f>Assumptions!$B$10+($B$20-Assumptions!$B$10)*4/9</f>
        <v>0.3356219316457284</v>
      </c>
      <c r="G19" s="9">
        <f>Assumptions!$B$10+($B$20-Assumptions!$B$10)*5/9</f>
        <v>0.3398605450962705</v>
      </c>
      <c r="H19" s="9">
        <f>Assumptions!$B$10+($B$20-Assumptions!$B$10)*6/9</f>
        <v>0.3440991585468126</v>
      </c>
      <c r="I19" s="9">
        <f>Assumptions!$B$10+($B$20-Assumptions!$B$10)*7/9</f>
        <v>0.3483377719973547</v>
      </c>
      <c r="J19" s="9">
        <f>Assumptions!$B$10+($B$20-Assumptions!$B$10)*8/9</f>
        <v>0.3525763854478968</v>
      </c>
      <c r="K19" s="9">
        <f>Assumptions!$B$10+($B$20-Assumptions!$B$10)*9/9</f>
        <v>0.35681499889843893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0.35681499889843893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1281325975.9201038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1710169306.9249105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0.29409586363299045</v>
      </c>
    </row>
    <row r="7" spans="1:2" x14ac:dyDescent="0.25">
      <c r="A7" t="s">
        <v>66</v>
      </c>
      <c r="B7" s="18">
        <f>-MAX(B5,0)*B6</f>
        <v>-502953719.2787143</v>
      </c>
    </row>
    <row r="8" spans="1:2" x14ac:dyDescent="0.25">
      <c r="A8" t="s">
        <v>67</v>
      </c>
      <c r="B8" s="18">
        <f>IF(OR(Assumptions!$B$33=0,Assumptions!B12&lt;=0),B5,MAX(B5+B7,0))</f>
        <v>1207215587.6461964</v>
      </c>
    </row>
    <row r="9" spans="1:2" x14ac:dyDescent="0.25">
      <c r="A9" t="s">
        <v>68</v>
      </c>
      <c r="B9" s="18">
        <f>B8*(1+Assumptions!B12)/(Assumptions!B26-Assumptions!B12)</f>
        <v>20621102490.427284</v>
      </c>
    </row>
    <row r="10" spans="1:2" x14ac:dyDescent="0.25">
      <c r="A10" t="s">
        <v>69</v>
      </c>
      <c r="B10" s="18">
        <f>B9/(1+Assumptions!B26)^(10-0.5*Assumptions!B32)</f>
        <v>9499602377.682112</v>
      </c>
    </row>
    <row r="11" spans="1:2" x14ac:dyDescent="0.25">
      <c r="A11" t="s">
        <v>70</v>
      </c>
      <c r="B11" s="18">
        <f>Forecast!B17+B10</f>
        <v>18388647565.364746</v>
      </c>
    </row>
    <row r="12" spans="1:2" x14ac:dyDescent="0.25">
      <c r="A12" t="s">
        <v>71</v>
      </c>
      <c r="B12" s="18">
        <f>-Assumptions!B30</f>
        <v>-16203705000</v>
      </c>
    </row>
    <row r="13" spans="1:2" x14ac:dyDescent="0.25">
      <c r="A13" t="s">
        <v>72</v>
      </c>
      <c r="B13" s="18">
        <f>B11+B12</f>
        <v>2184942565.364746</v>
      </c>
    </row>
    <row r="14" spans="1:2" x14ac:dyDescent="0.25">
      <c r="A14" s="19" t="s">
        <v>73</v>
      </c>
      <c r="B14" s="24">
        <f>B13/Assumptions!B31</f>
        <v>1.5705001044857436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6050556412.833691</v>
      </c>
    </row>
    <row r="18" spans="1:2" x14ac:dyDescent="0.25">
      <c r="A18" t="s">
        <v>68</v>
      </c>
      <c r="B18" s="18">
        <f>B17*Assumptions!B13</f>
        <v>121011128256.67381</v>
      </c>
    </row>
    <row r="19" spans="1:2" x14ac:dyDescent="0.25">
      <c r="A19" t="s">
        <v>69</v>
      </c>
      <c r="B19" s="18">
        <f>B18/(1+Assumptions!B26)^(10-0.5*Assumptions!B32)</f>
        <v>55746660599.09941</v>
      </c>
    </row>
    <row r="20" spans="1:2" x14ac:dyDescent="0.25">
      <c r="A20" t="s">
        <v>70</v>
      </c>
      <c r="B20" s="18">
        <f>Forecast!B17+B19</f>
        <v>64635705786.78204</v>
      </c>
    </row>
    <row r="21" spans="1:2" x14ac:dyDescent="0.25">
      <c r="A21" t="s">
        <v>71</v>
      </c>
      <c r="B21" s="18">
        <f>-Assumptions!B30</f>
        <v>-16203705000</v>
      </c>
    </row>
    <row r="22" spans="1:2" x14ac:dyDescent="0.25">
      <c r="A22" t="s">
        <v>72</v>
      </c>
      <c r="B22" s="18">
        <f>B20+B21</f>
        <v>48432000786.78204</v>
      </c>
    </row>
    <row r="23" spans="1:2" x14ac:dyDescent="0.25">
      <c r="A23" s="19" t="s">
        <v>73</v>
      </c>
      <c r="B23" s="25">
        <f>B22/Assumptions!B31</f>
        <v>34.81211062561603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180.7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1.5705001044857436</v>
      </c>
    </row>
    <row r="29" spans="1:2" x14ac:dyDescent="0.25">
      <c r="A29" s="19" t="s">
        <v>81</v>
      </c>
      <c r="B29" s="11">
        <f>B28/B26-1</f>
        <v>-0.9913087985363268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0.065006</v>
      </c>
      <c r="B5" s="31">
        <v>6.0794388762099265</v>
      </c>
      <c r="C5" s="31">
        <v>5.857291603904868</v>
      </c>
      <c r="D5" s="31">
        <v>5.63514433159981</v>
      </c>
      <c r="E5" s="31">
        <v>5.412997059294753</v>
      </c>
      <c r="F5" s="31">
        <v>5.1908497869896895</v>
      </c>
    </row>
    <row r="6" spans="1:6" x14ac:dyDescent="0.25">
      <c r="A6" s="30">
        <v>0.075006</v>
      </c>
      <c r="B6" s="31">
        <v>3.695429176581591</v>
      </c>
      <c r="C6" s="31">
        <v>3.513634181075169</v>
      </c>
      <c r="D6" s="31">
        <v>3.331839185568746</v>
      </c>
      <c r="E6" s="31">
        <v>3.1500441900623293</v>
      </c>
      <c r="F6" s="31">
        <v>2.968249194555907</v>
      </c>
    </row>
    <row r="7" spans="1:6" x14ac:dyDescent="0.25">
      <c r="A7" s="30">
        <v>0.085006</v>
      </c>
      <c r="B7" s="31">
        <v>1.8737375213455842</v>
      </c>
      <c r="C7" s="31">
        <v>1.7221418024691673</v>
      </c>
      <c r="D7" s="32">
        <v>1.5705460835927503</v>
      </c>
      <c r="E7" s="31">
        <v>1.4189503647163304</v>
      </c>
      <c r="F7" s="31">
        <v>1.2673546458399134</v>
      </c>
    </row>
    <row r="8" spans="1:6" x14ac:dyDescent="0.25">
      <c r="A8" s="30">
        <v>0.095006</v>
      </c>
      <c r="B8" s="31">
        <v>0.436823803257389</v>
      </c>
      <c r="C8" s="31">
        <v>0.3085280332956884</v>
      </c>
      <c r="D8" s="31">
        <v>0.18023226333398917</v>
      </c>
      <c r="E8" s="31">
        <v>0.051936493372289956</v>
      </c>
      <c r="F8" s="31">
        <v>-0.07635927658941338</v>
      </c>
    </row>
    <row r="9" spans="1:6" x14ac:dyDescent="0.25">
      <c r="A9" s="30">
        <v>0.105006</v>
      </c>
      <c r="B9" s="31">
        <v>-0.7252318544231308</v>
      </c>
      <c r="C9" s="31">
        <v>-0.8351166721203086</v>
      </c>
      <c r="D9" s="31">
        <v>-0.9450014898174864</v>
      </c>
      <c r="E9" s="31">
        <v>-1.0548863075146628</v>
      </c>
      <c r="F9" s="31">
        <v>-1.164771125211842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6112692000</v>
      </c>
      <c r="C5" s="18">
        <v>5554968000</v>
      </c>
      <c r="D5" s="18">
        <v>5477061000</v>
      </c>
      <c r="E5" s="18">
        <v>4691834000</v>
      </c>
      <c r="F5" s="6" t="s">
        <v>91</v>
      </c>
    </row>
    <row r="6" spans="1:6" x14ac:dyDescent="0.25">
      <c r="A6" t="s">
        <v>51</v>
      </c>
      <c r="B6" s="18">
        <v>922135000</v>
      </c>
      <c r="C6" s="18">
        <v>756950000</v>
      </c>
      <c r="D6" s="18">
        <v>727546000</v>
      </c>
      <c r="E6" s="18">
        <v>661734000</v>
      </c>
      <c r="F6" s="6" t="s">
        <v>92</v>
      </c>
    </row>
    <row r="7" spans="1:6" x14ac:dyDescent="0.25">
      <c r="A7" t="s">
        <v>93</v>
      </c>
      <c r="B7" s="18">
        <v>1894636000</v>
      </c>
      <c r="C7" s="18">
        <v>1771797000</v>
      </c>
      <c r="D7" s="18">
        <v>1694859000</v>
      </c>
      <c r="E7" s="18">
        <v>1577933000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-37256000</v>
      </c>
      <c r="C9" s="18">
        <v>-24672000</v>
      </c>
      <c r="D9" s="18">
        <v>379751000</v>
      </c>
      <c r="E9" s="18">
        <v>230338000</v>
      </c>
      <c r="F9" s="6" t="s">
        <v>98</v>
      </c>
    </row>
    <row r="10" spans="1:6" x14ac:dyDescent="0.25">
      <c r="A10" t="s">
        <v>99</v>
      </c>
      <c r="B10" s="18">
        <v>19655352000</v>
      </c>
      <c r="C10" s="18">
        <v>18008596000</v>
      </c>
      <c r="D10" s="18">
        <v>18968001000</v>
      </c>
      <c r="E10" s="18">
        <v>18067847000</v>
      </c>
      <c r="F10" s="6" t="s">
        <v>100</v>
      </c>
    </row>
    <row r="11" spans="1:6" x14ac:dyDescent="0.25">
      <c r="A11" t="s">
        <v>101</v>
      </c>
      <c r="B11" s="18">
        <v>3451647000</v>
      </c>
      <c r="C11" s="18">
        <v>3870891000</v>
      </c>
      <c r="D11" s="18">
        <v>1625495000</v>
      </c>
      <c r="E11" s="18">
        <v>141773000</v>
      </c>
      <c r="F11" s="6" t="s">
        <v>102</v>
      </c>
    </row>
    <row r="12" spans="1:6" x14ac:dyDescent="0.25">
      <c r="A12" t="s">
        <v>34</v>
      </c>
      <c r="B12" s="34">
        <v>1391240000</v>
      </c>
      <c r="C12" s="34">
        <v>1326188000</v>
      </c>
      <c r="D12" s="34">
        <v>1236260000</v>
      </c>
      <c r="E12" s="34">
        <v>1191676000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86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