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<sst xmlns="http://schemas.openxmlformats.org/spreadsheetml/2006/main" count="120" uniqueCount="107">
  <si>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Dollar Tree, Inc. (DLTR)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</si>
  <si>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</si>
  <si>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</si>
  <si>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</si>
  <si>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</si>
  <si>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</si>
  <si>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</si>
  <si>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</si>
  <si>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</si>
  <si>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</si>
  <si>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</si>
  <si>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</si>
  <si>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</si>
  <si>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</si>
  <si>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</si>
  <si>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</si>
  <si>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</si>
  <si>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</si>
  <si>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</si>
  <si>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</si>
  <si>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</si>
  <si>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</si>
  <si>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</si>
  <si>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</si>
  <si>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19.3x interest cover. Book interest / average debt was lower, at 1.1%.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</si>
  <si>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</si>
  <si>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</si>
  <si>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</si>
  <si>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</si>
  <si>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</si>
  <si>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</si>
  <si>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</si>
  <si>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</si>
  <si>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</si>
  <si>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</si>
  <si>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</si>
  <si>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</si>
  <si>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</si>
  <si>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</si>
  <si>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</si>
  <si>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</si>
  <si>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</si>
  <si>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</si>
  <si>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</si>
  <si>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</si>
  <si>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</si>
  <si>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</si>
  <si>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</si>
  <si>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</si>
  <si>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</si>
  <si>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</si>
  <si>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</si>
  <si>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</si>
  <si>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</si>
  <si>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</si>
  <si>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</si>
  <si>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</si>
  <si>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</si>
  <si>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</si>
  <si>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</si>
  <si>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</si>
  <si>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</si>
  <si>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</si>
  <si>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</si>
  <si>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</si>
  <si>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</si>
  <si>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</si>
  <si>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</si>
  <si>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</si>
  <si>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</si>
  <si>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</si>
  <si>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</si>
  <si>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</si>
  <si>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</si>
  <si>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</si>
  <si>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</si>
  <si>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</si>
  <si>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</si>
  <si>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</si>
  <si>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</si>
  <si>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</si>
  <si>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</si>
  <si>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</si>
  <si>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</si>
  <si>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</si>
  <si>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</si>
  <si>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</si>
  <si>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</si>
  <si>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</si>
  <si>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</si>
  <si>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</si>
  <si>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</si>
  <si>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</si>
  <si>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</si>
  <si>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</si>
  <si>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</si>
  <si>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</si>
  <si>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</si>
  <si>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</si>
  <si>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</si>
  <si>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</si>
  <si>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</si>
  <si>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</si>
  <si>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</si>
  <si>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</si>
  <si>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6.1% of revenue against depreciation of 2.8%.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</si>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</sst>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0.0656898046549006</v>
      </c>
    </row>
    <row r="7" spans="1:2" x14ac:dyDescent="0.25">
      <c r="A7" t="s">
        <v>4</v>
      </c>
      <c r="B7" s="5">
        <v>0.10257243677284439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0.02773255977180271</v>
      </c>
    </row>
    <row r="10" spans="1:3" x14ac:dyDescent="0.25">
      <c r="A10" t="s">
        <v>7</v>
      </c>
      <c r="B10" s="5">
        <v>0.061341788811230855</v>
      </c>
      <c r="C10" s="6" t="s">
        <v>8</v>
      </c>
    </row>
    <row r="11" spans="1:2" x14ac:dyDescent="0.25">
      <c r="A11" t="s">
        <v>9</v>
      </c>
      <c r="B11" s="5">
        <v>-0.42610981308411217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13.66933284199548</v>
      </c>
    </row>
    <row r="14" spans="1:3" x14ac:dyDescent="0.25">
      <c r="A14" t="s">
        <v>12</v>
      </c>
      <c r="B14" s="5">
        <v>0.1460679371739271</v>
      </c>
      <c r="C14" s="6" t="s">
        <v>13</v>
      </c>
    </row>
    <row r="15" spans="1:3" x14ac:dyDescent="0.25">
      <c r="A15" t="s">
        <v>14</v>
      </c>
      <c r="B15" s="5">
        <v>0.02773255977180271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0.80972</v>
      </c>
      <c r="C19" s="6" t="s">
        <v>21</v>
      </c>
    </row>
    <row r="20" spans="1:2" x14ac:dyDescent="0.25">
      <c r="A20" t="s">
        <v>22</v>
      </c>
      <c r="B20" s="9">
        <f>B17+B19*B18</f>
        <v>0.083191156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25118068736</v>
      </c>
    </row>
    <row r="23" spans="1:2" x14ac:dyDescent="0.25">
      <c r="A23" t="s">
        <v>26</v>
      </c>
      <c r="B23" s="10">
        <v>7055600000</v>
      </c>
    </row>
    <row r="24" spans="1:2" x14ac:dyDescent="0.25">
      <c r="A24" t="s">
        <v>27</v>
      </c>
      <c r="B24" s="9">
        <f>B22/(B22+B23)</f>
        <v>0.7807026591249354</v>
      </c>
    </row>
    <row r="25" spans="1:2" x14ac:dyDescent="0.25">
      <c r="A25" t="s">
        <v>28</v>
      </c>
      <c r="B25" s="9">
        <f>1-B24</f>
        <v>0.21929734087506458</v>
      </c>
    </row>
    <row r="26" spans="1:2" x14ac:dyDescent="0.25">
      <c r="A26" t="s">
        <v>29</v>
      </c>
      <c r="B26" s="11">
        <f>B24*B20+B25*B21*(1-B8)</f>
        <v>0.0741191416733588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19411800000</v>
      </c>
      <c r="C29" s="6" t="s">
        <v>32</v>
      </c>
    </row>
    <row r="30" spans="1:2" x14ac:dyDescent="0.25">
      <c r="A30" t="s">
        <v>33</v>
      </c>
      <c r="B30" s="10">
        <v>6337800000</v>
      </c>
    </row>
    <row r="31" spans="1:2" x14ac:dyDescent="0.25">
      <c r="A31" t="s">
        <v>34</v>
      </c>
      <c r="B31" s="12">
        <v>206300000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0.0656898046549006</v>
      </c>
      <c r="C5" s="5">
        <v>0.06051611886752406</v>
      </c>
      <c r="D5" s="5">
        <v>0.056076604009083555</v>
      </c>
      <c r="E5" s="5">
        <v>0.051637089150643044</v>
      </c>
      <c r="F5" s="5">
        <v>0.04719757429220254</v>
      </c>
      <c r="G5" s="5">
        <v>0.04275805943376203</v>
      </c>
      <c r="H5" s="5">
        <v>0.03831854457532152</v>
      </c>
      <c r="I5" s="5">
        <v>0.03387902971688102</v>
      </c>
      <c r="J5" s="5">
        <v>0.02943951485844051</v>
      </c>
      <c r="K5" s="5">
        <v>0.025</v>
      </c>
    </row>
    <row r="6" spans="1:11" x14ac:dyDescent="0.25">
      <c r="A6" t="s">
        <v>50</v>
      </c>
      <c r="B6" s="18">
        <f>Assumptions!B29*(1+B5)</f>
        <v>20686957350</v>
      </c>
      <c r="C6" s="18">
        <f>B6*(1+C5)</f>
        <v>21938851720</v>
      </c>
      <c r="D6" s="18">
        <f>C6*(1+D5)</f>
        <v>23169108020.316444</v>
      </c>
      <c r="E6" s="18">
        <f>D6*(1+E5)</f>
        <v>24365493316.702404</v>
      </c>
      <c r="F6" s="18">
        <f>E6*(1+F5)</f>
        <v>25515485497.68363</v>
      </c>
      <c r="G6" s="18">
        <f>F6*(1+G5)</f>
        <v>26606478143.074883</v>
      </c>
      <c r="H6" s="18">
        <f>G6*(1+H5)</f>
        <v>27625999661.792618</v>
      </c>
      <c r="I6" s="18">
        <f>H6*(1+I5)</f>
        <v>28561941725.293034</v>
      </c>
      <c r="J6" s="18">
        <f>I6*(1+J5)</f>
        <v>29402791433.10071</v>
      </c>
      <c r="K6" s="18">
        <f>J6*(1+K5)</f>
        <v>30137861218.928226</v>
      </c>
    </row>
    <row r="7" spans="1:11" x14ac:dyDescent="0.25">
      <c r="A7" t="s">
        <v>4</v>
      </c>
      <c r="B7" s="9">
        <f>Assumptions!B7</f>
        <v>0.10257243677284439</v>
      </c>
      <c r="C7" s="9">
        <f>Assumptions!B7</f>
        <v>0.10257243677284439</v>
      </c>
      <c r="D7" s="9">
        <f>Assumptions!B7</f>
        <v>0.10257243677284439</v>
      </c>
      <c r="E7" s="9">
        <f>Assumptions!B7</f>
        <v>0.10257243677284439</v>
      </c>
      <c r="F7" s="9">
        <f>Assumptions!B7</f>
        <v>0.10257243677284439</v>
      </c>
      <c r="G7" s="9">
        <f>Assumptions!B7</f>
        <v>0.10257243677284439</v>
      </c>
      <c r="H7" s="9">
        <f>Assumptions!B7</f>
        <v>0.10257243677284439</v>
      </c>
      <c r="I7" s="9">
        <f>Assumptions!B7</f>
        <v>0.10257243677284439</v>
      </c>
      <c r="J7" s="9">
        <f>Assumptions!B7</f>
        <v>0.10257243677284439</v>
      </c>
      <c r="K7" s="9">
        <f>Assumptions!B7</f>
        <v>0.10257243677284439</v>
      </c>
    </row>
    <row r="8" spans="1:11" x14ac:dyDescent="0.25">
      <c r="A8" t="s">
        <v>51</v>
      </c>
      <c r="B8" s="18">
        <f>B6*B7</f>
        <v>2121911624.8054035</v>
      </c>
      <c r="C8" s="18">
        <f>C6*C7</f>
        <v>2250321480.9185085</v>
      </c>
      <c r="D8" s="18">
        <f>D6*D7</f>
        <v>2376511867.4971104</v>
      </c>
      <c r="E8" s="18">
        <f>E6*E7</f>
        <v>2499228022.66662</v>
      </c>
      <c r="F8" s="18">
        <f>F6*F7</f>
        <v>2617185522.9395823</v>
      </c>
      <c r="G8" s="18">
        <f>G6*G7</f>
        <v>2729091297.0786147</v>
      </c>
      <c r="H8" s="18">
        <f>H6*H7</f>
        <v>2833666103.595844</v>
      </c>
      <c r="I8" s="18">
        <f>I6*I7</f>
        <v>2929667961.727286</v>
      </c>
      <c r="J8" s="18">
        <f>J6*J7</f>
        <v>3015915965.2168536</v>
      </c>
      <c r="K8" s="18">
        <f>K6*K7</f>
        <v>3091313864.3472743</v>
      </c>
    </row>
    <row r="9" spans="1:11" x14ac:dyDescent="0.25">
      <c r="A9" t="s">
        <v>52</v>
      </c>
      <c r="B9" s="18">
        <f>B8*(1-Assumptions!B8)</f>
        <v>1676310183.596269</v>
      </c>
      <c r="C9" s="18">
        <f>C8*(1-Assumptions!B8)</f>
        <v>1777753969.9256217</v>
      </c>
      <c r="D9" s="18">
        <f>D8*(1-Assumptions!B8)</f>
        <v>1877444375.3227172</v>
      </c>
      <c r="E9" s="18">
        <f>E8*(1-Assumptions!B8)</f>
        <v>1974390137.9066298</v>
      </c>
      <c r="F9" s="18">
        <f>F8*(1-Assumptions!B8)</f>
        <v>2067576563.12227</v>
      </c>
      <c r="G9" s="18">
        <f>G8*(1-Assumptions!B8)</f>
        <v>2155982124.692106</v>
      </c>
      <c r="H9" s="18">
        <f>H8*(1-Assumptions!B8)</f>
        <v>2238596221.840717</v>
      </c>
      <c r="I9" s="18">
        <f>I8*(1-Assumptions!B8)</f>
        <v>2314437689.764556</v>
      </c>
      <c r="J9" s="18">
        <f>J8*(1-Assumptions!B8)</f>
        <v>2382573612.5213146</v>
      </c>
      <c r="K9" s="18">
        <f>K8*(1-Assumptions!B8)</f>
        <v>2442137952.834347</v>
      </c>
    </row>
    <row r="10" spans="1:11" x14ac:dyDescent="0.25">
      <c r="A10" t="s">
        <v>53</v>
      </c>
      <c r="B10" s="18">
        <f>B6*Assumptions!B9</f>
        <v>573702281.2056084</v>
      </c>
      <c r="C10" s="18">
        <f>C6*Assumptions!B9</f>
        <v>608420516.6496167</v>
      </c>
      <c r="D10" s="18">
        <f>D6*Assumptions!B9</f>
        <v>642538673.0327793</v>
      </c>
      <c r="E10" s="18">
        <f>E6*Assumptions!B9</f>
        <v>675717499.7749089</v>
      </c>
      <c r="F10" s="18">
        <f>F6*Assumptions!B9</f>
        <v>707609726.6710765</v>
      </c>
      <c r="G10" s="18">
        <f>G6*Assumptions!B9</f>
        <v>737865745.4199865</v>
      </c>
      <c r="H10" s="18">
        <f>H6*Assumptions!B9</f>
        <v>766139686.8764652</v>
      </c>
      <c r="I10" s="18">
        <f>I6*Assumptions!B9</f>
        <v>792095756.0954348</v>
      </c>
      <c r="J10" s="18">
        <f>J6*Assumptions!B9</f>
        <v>815414670.8763142</v>
      </c>
      <c r="K10" s="18">
        <f>K6*Assumptions!B9</f>
        <v>835800037.6482219</v>
      </c>
    </row>
    <row r="11" spans="1:11" x14ac:dyDescent="0.25">
      <c r="A11" t="s">
        <v>54</v>
      </c>
      <c r="B11" s="18">
        <f>-B6*B19</f>
        <v>-1268974968.91064</v>
      </c>
      <c r="C11" s="18">
        <f>-C6*C19</f>
        <v>-1297648459.0742722</v>
      </c>
      <c r="D11" s="18">
        <f>-D6*D19</f>
        <v>-1319597824.5867088</v>
      </c>
      <c r="E11" s="18">
        <f>-E6*E19</f>
        <v>-1334295549.9895232</v>
      </c>
      <c r="F11" s="18">
        <f>-F6*F19</f>
        <v>-1341306243.5122344</v>
      </c>
      <c r="G11" s="18">
        <f>-G6*G19</f>
        <v>-1340300128.673226</v>
      </c>
      <c r="H11" s="18">
        <f>-H6*H19</f>
        <v>-1331064527.287157</v>
      </c>
      <c r="I11" s="18">
        <f>-I6*I19</f>
        <v>-1313512886.0639708</v>
      </c>
      <c r="J11" s="18">
        <f>-J6*J19</f>
        <v>-1287690960.4243004</v>
      </c>
      <c r="K11" s="18">
        <f>-K6*K19</f>
        <v>-1253779848.9750612</v>
      </c>
    </row>
    <row r="12" spans="1:11" x14ac:dyDescent="0.25">
      <c r="A12" t="s">
        <v>55</v>
      </c>
      <c r="B12" s="18">
        <f>-(B6-Assumptions!B29)*Assumptions!B11</f>
        <v>543357060.0613317</v>
      </c>
      <c r="C12" s="18">
        <f>-(C6-B6)*Assumptions!B11</f>
        <v>533444476.0017524</v>
      </c>
      <c r="D12" s="18">
        <f>-(D6-C6)*Assumptions!B11</f>
        <v>524224282.17339146</v>
      </c>
      <c r="E12" s="18">
        <f>-(E6-D6)*Assumptions!B11</f>
        <v>509791515.0196014</v>
      </c>
      <c r="F12" s="18">
        <f>-(F6-E6)*Assumptions!B11</f>
        <v>490022953.2861015</v>
      </c>
      <c r="G12" s="18">
        <f>-(G6-F6)*Assumptions!B11</f>
        <v>464882672.2038069</v>
      </c>
      <c r="H12" s="18">
        <f>-(H6-G6)*Assumptions!B11</f>
        <v>434428123.77604437</v>
      </c>
      <c r="I12" s="18">
        <f>-(I6-H6)*Assumptions!B11</f>
        <v>398814097.7357204</v>
      </c>
      <c r="J12" s="18">
        <f>-(J6-I6)*Assumptions!B11</f>
        <v>358294311.8257601</v>
      </c>
      <c r="K12" s="18">
        <f>-(K6-J6)*Assumptions!B11</f>
        <v>313220449.04274064</v>
      </c>
    </row>
    <row r="13" spans="1:11" x14ac:dyDescent="0.25">
      <c r="A13" s="19" t="s">
        <v>56</v>
      </c>
      <c r="B13" s="20">
        <f>B9+B10+B11+B12</f>
        <v>1524394555.9525688</v>
      </c>
      <c r="C13" s="20">
        <f>C9+C10+C11+C12</f>
        <v>1621970503.5027184</v>
      </c>
      <c r="D13" s="20">
        <f>D9+D10+D11+D12</f>
        <v>1724609505.9421792</v>
      </c>
      <c r="E13" s="20">
        <f>E9+E10+E11+E12</f>
        <v>1825603602.7116168</v>
      </c>
      <c r="F13" s="20">
        <f>F9+F10+F11+F12</f>
        <v>1923902999.5672135</v>
      </c>
      <c r="G13" s="20">
        <f>G9+G10+G11+G12</f>
        <v>2018430413.6426728</v>
      </c>
      <c r="H13" s="20">
        <f>H9+H10+H11+H12</f>
        <v>2108099505.2060695</v>
      </c>
      <c r="I13" s="20">
        <f>I9+I10+I11+I12</f>
        <v>2191834657.53174</v>
      </c>
      <c r="J13" s="20">
        <f>J9+J10+J11+J12</f>
        <v>2268591634.7990885</v>
      </c>
      <c r="K13" s="20">
        <f>K9+K10+K11+K12</f>
        <v>2337378590.550248</v>
      </c>
    </row>
    <row r="14" spans="1:11" x14ac:dyDescent="0.25">
      <c r="A14" t="s">
        <v>57</v>
      </c>
      <c r="B14" s="21">
        <f>1/(1+Assumptions!$B$26)^(1-0.5*Assumptions!$B$32)</f>
        <v>0.9648810386086991</v>
      </c>
      <c r="C14" s="21">
        <f>1/(1+Assumptions!$B$26)^(2-0.5*Assumptions!$B$32)</f>
        <v>0.8982998265029718</v>
      </c>
      <c r="D14" s="21">
        <f>1/(1+Assumptions!$B$26)^(3-0.5*Assumptions!$B$32)</f>
        <v>0.8363130230632702</v>
      </c>
      <c r="E14" s="21">
        <f>1/(1+Assumptions!$B$26)^(4-0.5*Assumptions!$B$32)</f>
        <v>0.7786035930431208</v>
      </c>
      <c r="F14" s="21">
        <f>1/(1+Assumptions!$B$26)^(5-0.5*Assumptions!$B$32)</f>
        <v>0.724876378080501</v>
      </c>
      <c r="G14" s="21">
        <f>1/(1+Assumptions!$B$26)^(6-0.5*Assumptions!$B$32)</f>
        <v>0.6748565870925861</v>
      </c>
      <c r="H14" s="21">
        <f>1/(1+Assumptions!$B$26)^(7-0.5*Assumptions!$B$32)</f>
        <v>0.6282883908401764</v>
      </c>
      <c r="I14" s="21">
        <f>1/(1+Assumptions!$B$26)^(8-0.5*Assumptions!$B$32)</f>
        <v>0.5849336134736157</v>
      </c>
      <c r="J14" s="21">
        <f>1/(1+Assumptions!$B$26)^(9-0.5*Assumptions!$B$32)</f>
        <v>0.5445705143680373</v>
      </c>
      <c r="K14" s="21">
        <f>1/(1+Assumptions!$B$26)^(10-0.5*Assumptions!$B$32)</f>
        <v>0.5069926540175577</v>
      </c>
    </row>
    <row r="15" spans="1:11" x14ac:dyDescent="0.25">
      <c r="A15" s="19" t="s">
        <v>58</v>
      </c>
      <c r="B15" s="20">
        <f>B13*B14</f>
        <v>1470859402.3969612</v>
      </c>
      <c r="C15" s="20">
        <f>C13*C14</f>
        <v>1457015821.8894298</v>
      </c>
      <c r="D15" s="20">
        <f>D13*D14</f>
        <v>1442313389.5181568</v>
      </c>
      <c r="E15" s="20">
        <f>E13*E14</f>
        <v>1421421524.5437307</v>
      </c>
      <c r="F15" s="20">
        <f>F13*F14</f>
        <v>1394591838.1044934</v>
      </c>
      <c r="G15" s="20">
        <f>G13*G14</f>
        <v>1362151060.234771</v>
      </c>
      <c r="H15" s="20">
        <f>H13*H14</f>
        <v>1324494445.8568935</v>
      </c>
      <c r="I15" s="20">
        <f>I13*I14</f>
        <v>1282077766.3667457</v>
      </c>
      <c r="J15" s="20">
        <f>J13*J14</f>
        <v>1235408113.453566</v>
      </c>
      <c r="K15" s="20">
        <f>K13*K14</f>
        <v>1185033775.0668886</v>
      </c>
    </row>
    <row r="17" spans="1:2" x14ac:dyDescent="0.25">
      <c r="A17" s="22" t="s">
        <v>59</v>
      </c>
      <c r="B17" s="23">
        <f>SUM(B15:K15)</f>
        <v>13575367137.431637</v>
      </c>
    </row>
    <row r="19" spans="1:11" x14ac:dyDescent="0.25">
      <c r="A19" t="s">
        <v>7</v>
      </c>
      <c r="B19" s="9">
        <f>Assumptions!$B$10+($B$20-Assumptions!$B$10)*0/9</f>
        <v>0.061341788811230855</v>
      </c>
      <c r="C19" s="9">
        <f>Assumptions!$B$10+($B$20-Assumptions!$B$10)*1/9</f>
        <v>0.059148421970111754</v>
      </c>
      <c r="D19" s="9">
        <f>Assumptions!$B$10+($B$20-Assumptions!$B$10)*2/9</f>
        <v>0.05695505512899265</v>
      </c>
      <c r="E19" s="9">
        <f>Assumptions!$B$10+($B$20-Assumptions!$B$10)*3/9</f>
        <v>0.05476168828787355</v>
      </c>
      <c r="F19" s="9">
        <f>Assumptions!$B$10+($B$20-Assumptions!$B$10)*4/9</f>
        <v>0.05256832144675445</v>
      </c>
      <c r="G19" s="9">
        <f>Assumptions!$B$10+($B$20-Assumptions!$B$10)*5/9</f>
        <v>0.05037495460563534</v>
      </c>
      <c r="H19" s="9">
        <f>Assumptions!$B$10+($B$20-Assumptions!$B$10)*6/9</f>
        <v>0.04818158776451624</v>
      </c>
      <c r="I19" s="9">
        <f>Assumptions!$B$10+($B$20-Assumptions!$B$10)*7/9</f>
        <v>0.04598822092339714</v>
      </c>
      <c r="J19" s="9">
        <f>Assumptions!$B$10+($B$20-Assumptions!$B$10)*8/9</f>
        <v>0.04379485408227804</v>
      </c>
      <c r="K19" s="9">
        <f>Assumptions!$B$10+($B$20-Assumptions!$B$10)*9/9</f>
        <v>0.04160148724115893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0.04160148724115893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2337378590.550248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2442137952.834347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0.17115323515681483</v>
      </c>
    </row>
    <row r="7" spans="1:2" x14ac:dyDescent="0.25">
      <c r="A7" t="s">
        <v>66</v>
      </c>
      <c r="B7" s="18">
        <f>-MAX(B5,0)*B6</f>
        <v>-417979811.3268393</v>
      </c>
    </row>
    <row r="8" spans="1:2" x14ac:dyDescent="0.25">
      <c r="A8" t="s">
        <v>67</v>
      </c>
      <c r="B8" s="18">
        <f>IF(OR(Assumptions!$B$33=0,Assumptions!B12&lt;=0),B5,MAX(B5+B7,0))</f>
        <v>2024158141.5075073</v>
      </c>
    </row>
    <row r="9" spans="1:2" x14ac:dyDescent="0.25">
      <c r="A9" t="s">
        <v>68</v>
      </c>
      <c r="B9" s="18">
        <f>B8*(1+Assumptions!B12)/(Assumptions!B26-Assumptions!B12)</f>
        <v>42239380094.26787</v>
      </c>
    </row>
    <row r="10" spans="1:2" x14ac:dyDescent="0.25">
      <c r="A10" t="s">
        <v>69</v>
      </c>
      <c r="B10" s="18">
        <f>B9/(1+Assumptions!B26)^(10-0.5*Assumptions!B32)</f>
        <v>21415055418.049263</v>
      </c>
    </row>
    <row r="11" spans="1:2" x14ac:dyDescent="0.25">
      <c r="A11" t="s">
        <v>70</v>
      </c>
      <c r="B11" s="18">
        <f>Forecast!B17+B10</f>
        <v>34990422555.480896</v>
      </c>
    </row>
    <row r="12" spans="1:2" x14ac:dyDescent="0.25">
      <c r="A12" t="s">
        <v>71</v>
      </c>
      <c r="B12" s="18">
        <f>-Assumptions!B30</f>
        <v>-6337800000</v>
      </c>
    </row>
    <row r="13" spans="1:2" x14ac:dyDescent="0.25">
      <c r="A13" t="s">
        <v>72</v>
      </c>
      <c r="B13" s="18">
        <f>B11+B12</f>
        <v>28652622555.480896</v>
      </c>
    </row>
    <row r="14" spans="1:2" x14ac:dyDescent="0.25">
      <c r="A14" s="19" t="s">
        <v>73</v>
      </c>
      <c r="B14" s="24">
        <f>B13/Assumptions!B31</f>
        <v>138.88813647833686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3927113901.9954963</v>
      </c>
    </row>
    <row r="18" spans="1:2" x14ac:dyDescent="0.25">
      <c r="A18" t="s">
        <v>68</v>
      </c>
      <c r="B18" s="18">
        <f>B17*Assumptions!B13</f>
        <v>53681027034.804054</v>
      </c>
    </row>
    <row r="19" spans="1:2" x14ac:dyDescent="0.25">
      <c r="A19" t="s">
        <v>69</v>
      </c>
      <c r="B19" s="18">
        <f>B18/(1+Assumptions!B26)^(10-0.5*Assumptions!B32)</f>
        <v>27215886366.763573</v>
      </c>
    </row>
    <row r="20" spans="1:2" x14ac:dyDescent="0.25">
      <c r="A20" t="s">
        <v>70</v>
      </c>
      <c r="B20" s="18">
        <f>Forecast!B17+B19</f>
        <v>40791253504.195206</v>
      </c>
    </row>
    <row r="21" spans="1:2" x14ac:dyDescent="0.25">
      <c r="A21" t="s">
        <v>71</v>
      </c>
      <c r="B21" s="18">
        <f>-Assumptions!B30</f>
        <v>-6337800000</v>
      </c>
    </row>
    <row r="22" spans="1:2" x14ac:dyDescent="0.25">
      <c r="A22" t="s">
        <v>72</v>
      </c>
      <c r="B22" s="18">
        <f>B20+B21</f>
        <v>34453453504.195206</v>
      </c>
    </row>
    <row r="23" spans="1:2" x14ac:dyDescent="0.25">
      <c r="A23" s="19" t="s">
        <v>73</v>
      </c>
      <c r="B23" s="25">
        <f>B22/Assumptions!B31</f>
        <v>167.00656085407275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133.87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138.88813647833686</v>
      </c>
    </row>
    <row r="29" spans="1:2" x14ac:dyDescent="0.25">
      <c r="A29" s="19" t="s">
        <v>81</v>
      </c>
      <c r="B29" s="11">
        <f>B28/B26-1</f>
        <v>0.03748514587537799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0.054119</v>
      </c>
      <c r="B5" s="31">
        <v>211.05096307233654</v>
      </c>
      <c r="C5" s="31">
        <v>227.8342696680332</v>
      </c>
      <c r="D5" s="31">
        <v>250.74263617079134</v>
      </c>
      <c r="E5" s="31">
        <v>283.5853373683688</v>
      </c>
      <c r="F5" s="31">
        <v>334.1564535171746</v>
      </c>
    </row>
    <row r="6" spans="1:6" x14ac:dyDescent="0.25">
      <c r="A6" s="30">
        <v>0.064119</v>
      </c>
      <c r="B6" s="31">
        <v>162.19395561417184</v>
      </c>
      <c r="C6" s="31">
        <v>170.23575046698363</v>
      </c>
      <c r="D6" s="31">
        <v>180.5872145974794</v>
      </c>
      <c r="E6" s="31">
        <v>194.26376578359123</v>
      </c>
      <c r="F6" s="31">
        <v>212.9782480733372</v>
      </c>
    </row>
    <row r="7" spans="1:6" x14ac:dyDescent="0.25">
      <c r="A7" s="30">
        <v>0.074119</v>
      </c>
      <c r="B7" s="31">
        <v>129.83095261256898</v>
      </c>
      <c r="C7" s="31">
        <v>133.85464368890683</v>
      </c>
      <c r="D7" s="32">
        <v>138.88860767336345</v>
      </c>
      <c r="E7" s="31">
        <v>145.27632682124343</v>
      </c>
      <c r="F7" s="31">
        <v>153.53689230183397</v>
      </c>
    </row>
    <row r="8" spans="1:6" x14ac:dyDescent="0.25">
      <c r="A8" s="30">
        <v>0.084119</v>
      </c>
      <c r="B8" s="31">
        <v>106.8081761687522</v>
      </c>
      <c r="C8" s="31">
        <v>108.77135038299471</v>
      </c>
      <c r="D8" s="31">
        <v>111.2167549500838</v>
      </c>
      <c r="E8" s="31">
        <v>114.278048202448</v>
      </c>
      <c r="F8" s="31">
        <v>118.14331072558637</v>
      </c>
    </row>
    <row r="9" spans="1:6" x14ac:dyDescent="0.25">
      <c r="A9" s="30">
        <v>0.094119</v>
      </c>
      <c r="B9" s="31">
        <v>89.58794156538298</v>
      </c>
      <c r="C9" s="31">
        <v>90.41878605267694</v>
      </c>
      <c r="D9" s="31">
        <v>91.49140264632017</v>
      </c>
      <c r="E9" s="31">
        <v>92.86235151717067</v>
      </c>
      <c r="F9" s="31">
        <v>94.60732718235673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19411800000</v>
      </c>
      <c r="C5" s="18">
        <v>17578500000</v>
      </c>
      <c r="D5" s="18">
        <v>16781100000</v>
      </c>
      <c r="E5" s="18">
        <v>15411500000</v>
      </c>
      <c r="F5" s="6" t="s">
        <v>91</v>
      </c>
    </row>
    <row r="6" spans="1:6" x14ac:dyDescent="0.25">
      <c r="A6" t="s">
        <v>51</v>
      </c>
      <c r="B6" s="18">
        <v>1653100000</v>
      </c>
      <c r="C6" s="18">
        <v>1462000000</v>
      </c>
      <c r="D6" s="18">
        <v>1774500000</v>
      </c>
      <c r="E6" s="18">
        <v>2099300000</v>
      </c>
      <c r="F6" s="6" t="s">
        <v>92</v>
      </c>
    </row>
    <row r="7" spans="1:6" x14ac:dyDescent="0.25">
      <c r="A7" t="s">
        <v>93</v>
      </c>
      <c r="B7" s="18">
        <v>648100000</v>
      </c>
      <c r="C7" s="18">
        <v>526900000</v>
      </c>
      <c r="D7" s="18">
        <v>400500000</v>
      </c>
      <c r="E7" s="18">
        <v>365300000</v>
      </c>
      <c r="F7" s="6" t="s">
        <v>94</v>
      </c>
    </row>
    <row r="8" spans="1:6" x14ac:dyDescent="0.25">
      <c r="A8" t="s">
        <v>95</v>
      </c>
      <c r="B8" s="18">
        <v>1134000000</v>
      </c>
      <c r="C8" s="18">
        <v>1300500000</v>
      </c>
      <c r="D8" s="18">
        <v>1194800000</v>
      </c>
      <c r="E8" s="18">
        <v>643700000</v>
      </c>
      <c r="F8" s="6" t="s">
        <v>96</v>
      </c>
    </row>
    <row r="9" spans="1:6" x14ac:dyDescent="0.25">
      <c r="A9" t="s">
        <v>97</v>
      </c>
      <c r="B9" s="18">
        <v>-50100000</v>
      </c>
      <c r="C9" s="18">
        <v>-395600000</v>
      </c>
      <c r="D9" s="18">
        <v>-583600000</v>
      </c>
      <c r="E9" s="18">
        <v>605300000</v>
      </c>
      <c r="F9" s="6" t="s">
        <v>98</v>
      </c>
    </row>
    <row r="10" spans="1:6" x14ac:dyDescent="0.25">
      <c r="A10" t="s">
        <v>99</v>
      </c>
      <c r="B10" s="18">
        <v>7055600000</v>
      </c>
      <c r="C10" s="18">
        <v>7830600000</v>
      </c>
      <c r="D10" s="18">
        <v>7368400000</v>
      </c>
      <c r="E10" s="18">
        <v>10126500000</v>
      </c>
      <c r="F10" s="6" t="s">
        <v>100</v>
      </c>
    </row>
    <row r="11" spans="1:6" x14ac:dyDescent="0.25">
      <c r="A11" t="s">
        <v>101</v>
      </c>
      <c r="B11" s="18">
        <v>717800000</v>
      </c>
      <c r="C11" s="18">
        <v>1256500000</v>
      </c>
      <c r="D11" s="18">
        <v>425200000</v>
      </c>
      <c r="E11" s="18">
        <v>642800000</v>
      </c>
      <c r="F11" s="6" t="s">
        <v>102</v>
      </c>
    </row>
    <row r="12" spans="1:6" x14ac:dyDescent="0.25">
      <c r="A12" t="s">
        <v>34</v>
      </c>
      <c r="B12" s="34">
        <v>206300000</v>
      </c>
      <c r="C12" s="34">
        <v>215900000</v>
      </c>
      <c r="D12" s="34">
        <v>219500000</v>
      </c>
      <c r="E12" s="34">
        <v>224100000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