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<sst xmlns="http://schemas.openxmlformats.org/spreadsheetml/2006/main" count="114" uniqueCount="102">
  <si>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Dyno Nobel Limited (DNL.AX)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</si>
  <si>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</si>
  <si>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</si>
  <si>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</si>
  <si>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</si>
  <si>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</si>
  <si>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</si>
  <si>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</si>
  <si>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</si>
  <si>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</si>
  <si>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</si>
  <si>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</si>
  <si>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</si>
  <si>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</si>
  <si>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</si>
  <si>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</si>
  <si>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</si>
  <si>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</si>
  <si>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</si>
  <si>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</si>
  <si>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</si>
  <si>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</si>
  <si>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</si>
  <si>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</si>
  <si>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</si>
  <si>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</si>
  <si>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</si>
  <si>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</si>
  <si>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</si>
  <si>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</si>
  <si>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2025-09-30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</si>
  <si>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</si>
  <si>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</si>
  <si>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</si>
  <si>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</si>
  <si>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</si>
  <si>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</si>
  <si>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</si>
  <si>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</si>
  <si>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</si>
  <si>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</si>
  <si>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</si>
  <si>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</si>
  <si>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</si>
  <si>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</si>
  <si>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</si>
  <si>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</si>
  <si>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</si>
  <si>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</si>
  <si>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</si>
  <si>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</si>
  <si>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</si>
  <si>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</si>
  <si>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</si>
  <si>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</si>
  <si>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</si>
  <si>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</si>
  <si>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</si>
  <si>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</si>
  <si>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</si>
  <si>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</si>
  <si>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</si>
  <si>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</si>
  <si>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</si>
  <si>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</si>
  <si>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</si>
  <si>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</si>
  <si>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</si>
  <si>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</si>
  <si>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</si>
  <si>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</si>
  <si>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</si>
  <si>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</si>
  <si>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</si>
  <si>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</si>
  <si>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</si>
  <si>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</si>
  <si>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</si>
  <si>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</si>
  <si>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</si>
  <si>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</si>
  <si>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</si>
  <si>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</si>
  <si>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</si>
  <si>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</si>
  <si>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</si>
  <si>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</si>
  <si>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</si>
  <si>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</si>
  <si>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</si>
  <si>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</si>
  <si>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</si>
  <si>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</si>
  <si>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</si>
  <si>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</si>
  <si>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</si>
  <si>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</si>
  <si>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</si>
  <si>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6.0%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</si>
  <si>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</si>
  <si>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Capital expenditure runs at 9.0% of revenue against depreciation of 6.5%.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</si>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</sst>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-0.1624760986176247</v>
      </c>
    </row>
    <row r="7" spans="1:2" x14ac:dyDescent="0.25">
      <c r="A7" t="s">
        <v>5</v>
      </c>
      <c r="B7" s="6">
        <v>0.11623472248676998</v>
      </c>
    </row>
    <row r="8" spans="1:2" x14ac:dyDescent="0.25">
      <c r="A8" t="s">
        <v>6</v>
      </c>
      <c r="B8" s="6">
        <v>0.20354457572502685</v>
      </c>
    </row>
    <row r="9" spans="1:2" x14ac:dyDescent="0.25">
      <c r="A9" t="s">
        <v>7</v>
      </c>
      <c r="B9" s="6">
        <v>0.06523161794658382</v>
      </c>
    </row>
    <row r="10" spans="1:2" x14ac:dyDescent="0.25">
      <c r="A10" t="s">
        <v>8</v>
      </c>
      <c r="B10" s="6">
        <v>0.08994490387270318</v>
      </c>
    </row>
    <row r="11" spans="1:2" x14ac:dyDescent="0.25">
      <c r="A11" t="s">
        <v>9</v>
      </c>
      <c r="B11" s="6">
        <v>-0.017580716497125167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11.123330708333333</v>
      </c>
    </row>
    <row r="14" spans="1:3" x14ac:dyDescent="0.25">
      <c r="A14" t="s">
        <v>12</v>
      </c>
      <c r="B14" s="6">
        <v>0.08394064136394776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0.60403</v>
      </c>
      <c r="C19" s="8" t="s">
        <v>19</v>
      </c>
    </row>
    <row r="20" spans="1:2" x14ac:dyDescent="0.25">
      <c r="A20" t="s">
        <v>20</v>
      </c>
      <c r="B20" s="10">
        <f>B17+B19*B18</f>
        <v>0.08972179999999999</v>
      </c>
    </row>
    <row r="21" spans="1:3" x14ac:dyDescent="0.25">
      <c r="A21" t="s">
        <v>21</v>
      </c>
      <c r="B21" s="6">
        <v>0.07954888732252542</v>
      </c>
      <c r="C21" s="8" t="s">
        <v>22</v>
      </c>
    </row>
    <row r="22" spans="1:2" x14ac:dyDescent="0.25">
      <c r="A22" t="s">
        <v>23</v>
      </c>
      <c r="B22" s="11">
        <v>7181417984</v>
      </c>
    </row>
    <row r="23" spans="1:2" x14ac:dyDescent="0.25">
      <c r="A23" t="s">
        <v>24</v>
      </c>
      <c r="B23" s="11">
        <v>2017000000</v>
      </c>
    </row>
    <row r="24" spans="1:2" x14ac:dyDescent="0.25">
      <c r="A24" t="s">
        <v>25</v>
      </c>
      <c r="B24" s="10">
        <f>B22/(B22+B23)</f>
        <v>0.7807231631016954</v>
      </c>
    </row>
    <row r="25" spans="1:2" x14ac:dyDescent="0.25">
      <c r="A25" t="s">
        <v>26</v>
      </c>
      <c r="B25" s="10">
        <f>1-B24</f>
        <v>0.21927683689830457</v>
      </c>
    </row>
    <row r="26" spans="1:2" x14ac:dyDescent="0.25">
      <c r="A26" t="s">
        <v>27</v>
      </c>
      <c r="B26" s="12">
        <f>B24*B20+B25*B21*(1-B8)</f>
        <v>0.08394064136394776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3710100000</v>
      </c>
      <c r="C29" s="8" t="s">
        <v>30</v>
      </c>
    </row>
    <row r="30" spans="1:2" x14ac:dyDescent="0.25">
      <c r="A30" t="s">
        <v>31</v>
      </c>
      <c r="B30" s="11">
        <v>1361300000</v>
      </c>
    </row>
    <row r="31" spans="1:2" x14ac:dyDescent="0.25">
      <c r="A31" t="s">
        <v>32</v>
      </c>
      <c r="B31" s="13">
        <v>1855343829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-0.1624760986176247</v>
      </c>
      <c r="C5" s="10">
        <f>Assumptions!B6</f>
        <v>-0.1624760986176247</v>
      </c>
      <c r="D5" s="10">
        <f>Assumptions!B6</f>
        <v>-0.1624760986176247</v>
      </c>
      <c r="E5" s="10">
        <f>Assumptions!B6</f>
        <v>-0.1624760986176247</v>
      </c>
      <c r="F5" s="10">
        <f>Assumptions!B6</f>
        <v>-0.1624760986176247</v>
      </c>
    </row>
    <row r="6" spans="1:6" x14ac:dyDescent="0.25">
      <c r="A6" t="s">
        <v>43</v>
      </c>
      <c r="B6" s="18">
        <f>Assumptions!B29*(1+B5)</f>
        <v>3107297426.5187507</v>
      </c>
      <c r="C6" s="18">
        <f>B6*(1+C5)</f>
        <v>2602435863.4133987</v>
      </c>
      <c r="D6" s="18">
        <f>C6*(1+D5)</f>
        <v>2179602237.4234</v>
      </c>
      <c r="E6" s="18">
        <f>D6*(1+E5)</f>
        <v>1825468969.3486001</v>
      </c>
      <c r="F6" s="18">
        <f>E6*(1+F5)</f>
        <v>1528873893.0613034</v>
      </c>
    </row>
    <row r="7" spans="1:6" x14ac:dyDescent="0.25">
      <c r="A7" t="s">
        <v>5</v>
      </c>
      <c r="B7" s="10">
        <f>Assumptions!B7</f>
        <v>0.11623472248676998</v>
      </c>
      <c r="C7" s="10">
        <f>Assumptions!B7</f>
        <v>0.11623472248676998</v>
      </c>
      <c r="D7" s="10">
        <f>Assumptions!B7</f>
        <v>0.11623472248676998</v>
      </c>
      <c r="E7" s="10">
        <f>Assumptions!B7</f>
        <v>0.11623472248676998</v>
      </c>
      <c r="F7" s="10">
        <f>Assumptions!B7</f>
        <v>0.11623472248676998</v>
      </c>
    </row>
    <row r="8" spans="1:6" x14ac:dyDescent="0.25">
      <c r="A8" t="s">
        <v>44</v>
      </c>
      <c r="B8" s="18">
        <f>B6*B7</f>
        <v>361175854.05526155</v>
      </c>
      <c r="C8" s="18">
        <f>C6*C7</f>
        <v>302493410.37347406</v>
      </c>
      <c r="D8" s="18">
        <f>D6*D7</f>
        <v>253345461.19845185</v>
      </c>
      <c r="E8" s="18">
        <f>E6*E7</f>
        <v>212182879.06044456</v>
      </c>
      <c r="F8" s="18">
        <f>F6*F7</f>
        <v>177708232.67724824</v>
      </c>
    </row>
    <row r="9" spans="1:6" x14ac:dyDescent="0.25">
      <c r="A9" t="s">
        <v>45</v>
      </c>
      <c r="B9" s="18">
        <f>B8*(1-Assumptions!B8)</f>
        <v>287660468.07945913</v>
      </c>
      <c r="C9" s="18">
        <f>C8*(1-Assumptions!B8)</f>
        <v>240922517.49938884</v>
      </c>
      <c r="D9" s="18">
        <f>D8*(1-Assumptions!B8)</f>
        <v>201778366.78695172</v>
      </c>
      <c r="E9" s="18">
        <f>E8*(1-Assumptions!B8)</f>
        <v>168994204.9659717</v>
      </c>
      <c r="F9" s="18">
        <f>F8*(1-Assumptions!B8)</f>
        <v>141536685.8541134</v>
      </c>
    </row>
    <row r="10" spans="1:6" x14ac:dyDescent="0.25">
      <c r="A10" t="s">
        <v>46</v>
      </c>
      <c r="B10" s="18">
        <f>B6*Assumptions!B9</f>
        <v>202694038.57307425</v>
      </c>
      <c r="C10" s="18">
        <f>C6*Assumptions!B9</f>
        <v>169761101.97267082</v>
      </c>
      <c r="D10" s="18">
        <f>D6*Assumptions!B9</f>
        <v>142178980.4271225</v>
      </c>
      <c r="E10" s="18">
        <f>E6*Assumptions!B9</f>
        <v>119078294.38189201</v>
      </c>
      <c r="F10" s="18">
        <f>F6*Assumptions!B9</f>
        <v>99730917.68068118</v>
      </c>
    </row>
    <row r="11" spans="1:6" x14ac:dyDescent="0.25">
      <c r="A11" t="s">
        <v>47</v>
      </c>
      <c r="B11" s="18">
        <f>-B6*Assumptions!B10</f>
        <v>-279485568.332127</v>
      </c>
      <c r="C11" s="18">
        <f>-C6*Assumptions!B10</f>
        <v>-234075843.56959346</v>
      </c>
      <c r="D11" s="18">
        <f>-D6*Assumptions!B10</f>
        <v>-196044113.7257765</v>
      </c>
      <c r="E11" s="18">
        <f>-E6*Assumptions!B10</f>
        <v>-164191630.9706624</v>
      </c>
      <c r="F11" s="18">
        <f>-F6*Assumptions!B10</f>
        <v>-137514415.34488443</v>
      </c>
    </row>
    <row r="12" spans="1:6" x14ac:dyDescent="0.25">
      <c r="A12" t="s">
        <v>48</v>
      </c>
      <c r="B12" s="18">
        <f>-(B6-Assumptions!B29)*Assumptions!B11</f>
        <v>-10597701.148111306</v>
      </c>
      <c r="C12" s="18">
        <f>-(C6-B6)*Assumptions!B11</f>
        <v>-8875828.01125066</v>
      </c>
      <c r="D12" s="18">
        <f>-(D6-C6)*Assumptions!B11</f>
        <v>-7433718.103981625</v>
      </c>
      <c r="E12" s="18">
        <f>-(E6-D6)*Assumptions!B11</f>
        <v>-6225916.588223482</v>
      </c>
      <c r="F12" s="18">
        <f>-(F6-E6)*Assumptions!B11</f>
        <v>-5214353.950650176</v>
      </c>
    </row>
    <row r="13" spans="1:6" x14ac:dyDescent="0.25">
      <c r="A13" s="19" t="s">
        <v>49</v>
      </c>
      <c r="B13" s="20">
        <f>B9+B10+B11+B12</f>
        <v>200271237.17229512</v>
      </c>
      <c r="C13" s="20">
        <f>C9+C10+C11+C12</f>
        <v>167731947.89121556</v>
      </c>
      <c r="D13" s="20">
        <f>D9+D10+D11+D12</f>
        <v>140479515.38431615</v>
      </c>
      <c r="E13" s="20">
        <f>E9+E10+E11+E12</f>
        <v>117654951.78897786</v>
      </c>
      <c r="F13" s="20">
        <f>F9+F10+F11+F12</f>
        <v>98538834.23925997</v>
      </c>
    </row>
    <row r="14" spans="1:6" x14ac:dyDescent="0.25">
      <c r="A14" t="s">
        <v>50</v>
      </c>
      <c r="B14" s="21">
        <f>1/(1+Assumptions!$B$26)^(1-0.5*Assumptions!$B$32)</f>
        <v>0.9604997363035338</v>
      </c>
      <c r="C14" s="21">
        <f>1/(1+Assumptions!$B$26)^(2-0.5*Assumptions!$B$32)</f>
        <v>0.8861183902975669</v>
      </c>
      <c r="D14" s="21">
        <f>1/(1+Assumptions!$B$26)^(3-0.5*Assumptions!$B$32)</f>
        <v>0.817497154809643</v>
      </c>
      <c r="E14" s="21">
        <f>1/(1+Assumptions!$B$26)^(4-0.5*Assumptions!$B$32)</f>
        <v>0.7541899654034258</v>
      </c>
      <c r="F14" s="21">
        <f>1/(1+Assumptions!$B$26)^(5-0.5*Assumptions!$B$32)</f>
        <v>0.6957853009869718</v>
      </c>
    </row>
    <row r="15" spans="1:6" x14ac:dyDescent="0.25">
      <c r="A15" s="19" t="s">
        <v>51</v>
      </c>
      <c r="B15" s="20">
        <f>B13*B14</f>
        <v>192360470.49317193</v>
      </c>
      <c r="C15" s="20">
        <f>C13*C14</f>
        <v>148630363.6668393</v>
      </c>
      <c r="D15" s="20">
        <f>D13*D14</f>
        <v>114841604.13571593</v>
      </c>
      <c r="E15" s="20">
        <f>E13*E14</f>
        <v>88734184.01927094</v>
      </c>
      <c r="F15" s="20">
        <f>F13*F14</f>
        <v>68561872.44006883</v>
      </c>
    </row>
    <row r="17" spans="1:2" x14ac:dyDescent="0.25">
      <c r="A17" s="22" t="s">
        <v>52</v>
      </c>
      <c r="B17" s="23">
        <f>SUM(B15:F15)</f>
        <v>613128494.7550669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98538834.23925997</v>
      </c>
    </row>
    <row r="5" spans="1:2" x14ac:dyDescent="0.25">
      <c r="A5" t="s">
        <v>56</v>
      </c>
      <c r="B5" s="18">
        <f>IF(Assumptions!$B$33=0,B4,B4-Forecast!F11-Forecast!F10-Forecast!F12)</f>
        <v>141536685.8541134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0.2978295089693873</v>
      </c>
    </row>
    <row r="7" spans="1:2" x14ac:dyDescent="0.25">
      <c r="A7" t="s">
        <v>58</v>
      </c>
      <c r="B7" s="18">
        <f>-MAX(Forecast!F9,0)*B6</f>
        <v>-42153801.64908502</v>
      </c>
    </row>
    <row r="8" spans="1:2" x14ac:dyDescent="0.25">
      <c r="A8" t="s">
        <v>59</v>
      </c>
      <c r="B8" s="18">
        <f>IF(OR(Assumptions!$B$33=0,Assumptions!B12&lt;=0),B5,MAX(B5+B7,0))</f>
        <v>99382884.20502838</v>
      </c>
    </row>
    <row r="9" spans="1:2" x14ac:dyDescent="0.25">
      <c r="A9" t="s">
        <v>60</v>
      </c>
      <c r="B9" s="18">
        <f>B8*(1+Assumptions!B12)/(Assumptions!B26-Assumptions!B12)</f>
        <v>1728305867.6124856</v>
      </c>
    </row>
    <row r="10" spans="1:2" x14ac:dyDescent="0.25">
      <c r="A10" t="s">
        <v>61</v>
      </c>
      <c r="B10" s="18">
        <f>B9/(1+Assumptions!B26)^(5-0.5*Assumptions!B32)</f>
        <v>1202529818.2943027</v>
      </c>
    </row>
    <row r="11" spans="1:2" x14ac:dyDescent="0.25">
      <c r="A11" t="s">
        <v>62</v>
      </c>
      <c r="B11" s="18">
        <f>Forecast!B17+B10</f>
        <v>1815658313.0493696</v>
      </c>
    </row>
    <row r="12" spans="1:2" x14ac:dyDescent="0.25">
      <c r="A12" t="s">
        <v>63</v>
      </c>
      <c r="B12" s="18">
        <f>-Assumptions!B30</f>
        <v>-1361300000</v>
      </c>
    </row>
    <row r="13" spans="1:2" x14ac:dyDescent="0.25">
      <c r="A13" t="s">
        <v>64</v>
      </c>
      <c r="B13" s="18">
        <f>B11+B12</f>
        <v>454358313.0493696</v>
      </c>
    </row>
    <row r="14" spans="1:2" x14ac:dyDescent="0.25">
      <c r="A14" s="19" t="s">
        <v>65</v>
      </c>
      <c r="B14" s="24">
        <f>B13/Assumptions!B31</f>
        <v>0.24489170467894422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277439150.3579294</v>
      </c>
    </row>
    <row r="18" spans="1:2" x14ac:dyDescent="0.25">
      <c r="A18" t="s">
        <v>60</v>
      </c>
      <c r="B18" s="18">
        <f>B17*Assumptions!B13</f>
        <v>3086047420.870265</v>
      </c>
    </row>
    <row r="19" spans="1:2" x14ac:dyDescent="0.25">
      <c r="A19" t="s">
        <v>61</v>
      </c>
      <c r="B19" s="18">
        <f>B18/(1+Assumptions!B26)^(5-0.5*Assumptions!B32)</f>
        <v>2147226433.5902853</v>
      </c>
    </row>
    <row r="20" spans="1:2" x14ac:dyDescent="0.25">
      <c r="A20" t="s">
        <v>62</v>
      </c>
      <c r="B20" s="18">
        <f>Forecast!B17+B19</f>
        <v>2760354928.345352</v>
      </c>
    </row>
    <row r="21" spans="1:2" x14ac:dyDescent="0.25">
      <c r="A21" t="s">
        <v>63</v>
      </c>
      <c r="B21" s="18">
        <f>-Assumptions!B30</f>
        <v>-1361300000</v>
      </c>
    </row>
    <row r="22" spans="1:2" x14ac:dyDescent="0.25">
      <c r="A22" t="s">
        <v>64</v>
      </c>
      <c r="B22" s="18">
        <f>B20+B21</f>
        <v>1399054928.3453522</v>
      </c>
    </row>
    <row r="23" spans="1:2" x14ac:dyDescent="0.25">
      <c r="A23" s="19" t="s">
        <v>65</v>
      </c>
      <c r="B23" s="25">
        <f>B22/Assumptions!B31</f>
        <v>0.7540677401554298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0.24489170467894422</v>
      </c>
    </row>
    <row r="29" spans="1:2" x14ac:dyDescent="0.25">
      <c r="A29" s="19" t="s">
        <v>73</v>
      </c>
      <c r="B29" s="12">
        <f>B28/B26-1</f>
        <v>-0.9402703159319649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0.063941</v>
      </c>
      <c r="B5" s="31">
        <v>0.5256139555339374</v>
      </c>
      <c r="C5" s="31">
        <v>0.5301273806889264</v>
      </c>
      <c r="D5" s="31">
        <v>0.5346408058439148</v>
      </c>
      <c r="E5" s="31">
        <v>0.5391542309989036</v>
      </c>
      <c r="F5" s="31">
        <v>0.543667656153892</v>
      </c>
    </row>
    <row r="6" spans="1:6" x14ac:dyDescent="0.25">
      <c r="A6" s="30">
        <v>0.073941</v>
      </c>
      <c r="B6" s="31">
        <v>0.3626022037900489</v>
      </c>
      <c r="C6" s="31">
        <v>0.36634432111785536</v>
      </c>
      <c r="D6" s="31">
        <v>0.370086438445661</v>
      </c>
      <c r="E6" s="31">
        <v>0.37382855577346724</v>
      </c>
      <c r="F6" s="31">
        <v>0.37757067310127346</v>
      </c>
    </row>
    <row r="7" spans="1:6" x14ac:dyDescent="0.25">
      <c r="A7" s="30">
        <v>0.083941</v>
      </c>
      <c r="B7" s="31">
        <v>0.23856443311473816</v>
      </c>
      <c r="C7" s="31">
        <v>0.24172609254726135</v>
      </c>
      <c r="D7" s="32">
        <v>0.24488775197978432</v>
      </c>
      <c r="E7" s="31">
        <v>0.24804941141230752</v>
      </c>
      <c r="F7" s="31">
        <v>0.25121107084483046</v>
      </c>
    </row>
    <row r="8" spans="1:6" x14ac:dyDescent="0.25">
      <c r="A8" s="30">
        <v>0.093941</v>
      </c>
      <c r="B8" s="31">
        <v>0.14104203511632074</v>
      </c>
      <c r="C8" s="31">
        <v>0.14375276906705492</v>
      </c>
      <c r="D8" s="31">
        <v>0.14646350301778888</v>
      </c>
      <c r="E8" s="31">
        <v>0.14917423696852308</v>
      </c>
      <c r="F8" s="31">
        <v>0.15188497091925726</v>
      </c>
    </row>
    <row r="9" spans="1:6" x14ac:dyDescent="0.25">
      <c r="A9" s="30">
        <v>0.103941</v>
      </c>
      <c r="B9" s="31">
        <v>0.06237179256906777</v>
      </c>
      <c r="C9" s="31">
        <v>0.06472343532307583</v>
      </c>
      <c r="D9" s="31">
        <v>0.06707507807708377</v>
      </c>
      <c r="E9" s="31">
        <v>0.06942672083109157</v>
      </c>
      <c r="F9" s="31">
        <v>0.07177836358509963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3710100000</v>
      </c>
      <c r="C5" s="18">
        <v>5278500000</v>
      </c>
      <c r="D5" s="18">
        <v>5410900000</v>
      </c>
      <c r="E5" s="18">
        <v>6315300000</v>
      </c>
      <c r="F5" s="8" t="s">
        <v>84</v>
      </c>
    </row>
    <row r="6" spans="1:6" x14ac:dyDescent="0.25">
      <c r="A6" t="s">
        <v>44</v>
      </c>
      <c r="B6" s="18">
        <v>483900000</v>
      </c>
      <c r="C6" s="18">
        <v>347900000</v>
      </c>
      <c r="D6" s="18">
        <v>357200000</v>
      </c>
      <c r="E6" s="18">
        <v>1279400000</v>
      </c>
      <c r="F6" s="8" t="s">
        <v>85</v>
      </c>
    </row>
    <row r="7" spans="1:6" x14ac:dyDescent="0.25">
      <c r="A7" t="s">
        <v>86</v>
      </c>
      <c r="B7" s="18">
        <v>284100000</v>
      </c>
      <c r="C7" s="18">
        <v>345000000</v>
      </c>
      <c r="D7" s="18">
        <v>324700000</v>
      </c>
      <c r="E7" s="18">
        <v>372500000</v>
      </c>
      <c r="F7" s="8" t="s">
        <v>87</v>
      </c>
    </row>
    <row r="8" spans="1:6" x14ac:dyDescent="0.25">
      <c r="A8" t="s">
        <v>88</v>
      </c>
      <c r="B8" s="18">
        <v>474200000</v>
      </c>
      <c r="C8" s="18">
        <v>378700000</v>
      </c>
      <c r="D8" s="18">
        <v>495100000</v>
      </c>
      <c r="E8" s="18">
        <v>434000000</v>
      </c>
      <c r="F8" s="8" t="s">
        <v>89</v>
      </c>
    </row>
    <row r="9" spans="1:6" x14ac:dyDescent="0.25">
      <c r="A9" t="s">
        <v>90</v>
      </c>
      <c r="B9" s="18">
        <v>-44400000</v>
      </c>
      <c r="C9" s="18">
        <v>221200000</v>
      </c>
      <c r="D9" s="18">
        <v>15900000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2017000000</v>
      </c>
      <c r="C10" s="18">
        <v>1955400000</v>
      </c>
      <c r="D10" s="18">
        <v>1966400000</v>
      </c>
      <c r="E10" s="18">
        <v>1957900000</v>
      </c>
      <c r="F10" s="8" t="s">
        <v>93</v>
      </c>
    </row>
    <row r="11" spans="1:6" x14ac:dyDescent="0.25">
      <c r="A11" t="s">
        <v>94</v>
      </c>
      <c r="B11" s="18">
        <v>655700000</v>
      </c>
      <c r="C11" s="18">
        <v>1071300000</v>
      </c>
      <c r="D11" s="18">
        <v>405000000</v>
      </c>
      <c r="E11" s="18">
        <v>763500000</v>
      </c>
      <c r="F11" s="8" t="s">
        <v>95</v>
      </c>
    </row>
    <row r="12" spans="1:6" x14ac:dyDescent="0.25">
      <c r="A12" t="s">
        <v>32</v>
      </c>
      <c r="B12" s="34">
        <v>1855343829</v>
      </c>
      <c r="C12" s="34">
        <v>1935814215</v>
      </c>
      <c r="D12" s="34">
        <v>1942225029</v>
      </c>
      <c r="E12" s="34">
        <v>1945681382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2026-09-19T00:07:06Z</dcterms:modified>
</cp:coreProperties>
</file>