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<sst xmlns="http://schemas.openxmlformats.org/spreadsheetml/2006/main" count="113" uniqueCount="101">
  <si>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Dollarama Inc. (DOL.TO)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</si>
  <si>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</si>
  <si>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</si>
  <si>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</si>
  <si>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</si>
  <si>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</si>
  <si>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</si>
  <si>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</si>
  <si>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</si>
  <si>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</si>
  <si>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</si>
  <si>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</si>
  <si>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</si>
  <si>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</si>
  <si>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</si>
  <si>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</si>
  <si>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</si>
  <si>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</si>
  <si>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</si>
  <si>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</si>
  <si>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</si>
  <si>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</si>
  <si>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</si>
  <si>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</si>
  <si>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</si>
  <si>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</si>
  <si>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</si>
  <si>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</si>
  <si>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</si>
  <si>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</si>
  <si>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2026-01-31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</si>
  <si>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</si>
  <si>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</si>
  <si>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</si>
  <si>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</si>
  <si>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</si>
  <si>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</si>
  <si>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</si>
  <si>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</si>
  <si>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</si>
  <si>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</si>
  <si>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</si>
  <si>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</si>
  <si>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</si>
  <si>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</si>
  <si>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</si>
  <si>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</si>
  <si>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</si>
  <si>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</si>
  <si>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</si>
  <si>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</si>
  <si>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</si>
  <si>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</si>
  <si>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</si>
  <si>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</si>
  <si>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</si>
  <si>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</si>
  <si>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</si>
  <si>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</si>
  <si>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</si>
  <si>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</si>
  <si>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</si>
  <si>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</si>
  <si>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</si>
  <si>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</si>
  <si>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</si>
  <si>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</si>
  <si>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</si>
  <si>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</si>
  <si>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</si>
  <si>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</si>
  <si>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</si>
  <si>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</si>
  <si>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</si>
  <si>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</si>
  <si>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</si>
  <si>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</si>
  <si>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</si>
  <si>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</si>
  <si>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</si>
  <si>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</si>
  <si>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</si>
  <si>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</si>
  <si>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</si>
  <si>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</si>
  <si>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</si>
  <si>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</si>
  <si>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</si>
  <si>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</si>
  <si>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</si>
  <si>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</si>
  <si>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</si>
  <si>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</si>
  <si>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</si>
  <si>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</si>
  <si>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</si>
  <si>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</si>
  <si>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</si>
  <si>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</si>
  <si>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Current EV/EBITDA of 23.5x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</si>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</sst>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0.12819759843072576</v>
      </c>
    </row>
    <row r="7" spans="1:2" x14ac:dyDescent="0.25">
      <c r="A7" t="s">
        <v>5</v>
      </c>
      <c r="B7" s="6">
        <v>0.23902217596887027</v>
      </c>
    </row>
    <row r="8" spans="1:2" x14ac:dyDescent="0.25">
      <c r="A8" t="s">
        <v>6</v>
      </c>
      <c r="B8" s="6">
        <v>0.2534232033306921</v>
      </c>
    </row>
    <row r="9" spans="1:2" x14ac:dyDescent="0.25">
      <c r="A9" t="s">
        <v>7</v>
      </c>
      <c r="B9" s="6">
        <v>0.06386537931605177</v>
      </c>
    </row>
    <row r="10" spans="1:2" x14ac:dyDescent="0.25">
      <c r="A10" t="s">
        <v>8</v>
      </c>
      <c r="B10" s="6">
        <v>0.03875214577209389</v>
      </c>
    </row>
    <row r="11" spans="1:2" x14ac:dyDescent="0.25">
      <c r="A11" t="s">
        <v>9</v>
      </c>
      <c r="B11" s="6">
        <v>0.01237089980340676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0.3576246634157163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0.5711999999999999</v>
      </c>
      <c r="C19" s="8" t="s">
        <v>19</v>
      </c>
    </row>
    <row r="20" spans="1:2" x14ac:dyDescent="0.25">
      <c r="A20" t="s">
        <v>20</v>
      </c>
      <c r="B20" s="10">
        <f>B17+B19*B18</f>
        <v>0.064416</v>
      </c>
    </row>
    <row r="21" spans="1:3" x14ac:dyDescent="0.25">
      <c r="A21" t="s">
        <v>21</v>
      </c>
      <c r="B21" s="6">
        <v>0.04039840676875881</v>
      </c>
      <c r="C21" s="8" t="s">
        <v>22</v>
      </c>
    </row>
    <row r="22" spans="1:2" x14ac:dyDescent="0.25">
      <c r="A22" t="s">
        <v>23</v>
      </c>
      <c r="B22" s="11">
        <v>46744596480</v>
      </c>
    </row>
    <row r="23" spans="1:2" x14ac:dyDescent="0.25">
      <c r="A23" t="s">
        <v>24</v>
      </c>
      <c r="B23" s="11">
        <v>5395594000</v>
      </c>
    </row>
    <row r="24" spans="1:2" x14ac:dyDescent="0.25">
      <c r="A24" t="s">
        <v>25</v>
      </c>
      <c r="B24" s="10">
        <f>B22/(B22+B23)</f>
        <v>0.896517562549572</v>
      </c>
    </row>
    <row r="25" spans="1:2" x14ac:dyDescent="0.25">
      <c r="A25" t="s">
        <v>26</v>
      </c>
      <c r="B25" s="10">
        <f>1-B24</f>
        <v>0.10348243745042796</v>
      </c>
    </row>
    <row r="26" spans="1:2" x14ac:dyDescent="0.25">
      <c r="A26" t="s">
        <v>27</v>
      </c>
      <c r="B26" s="12">
        <f>B24*B20+B25*B21*(1-B8)</f>
        <v>0.06087115872118875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7255754000</v>
      </c>
      <c r="C29" s="8" t="s">
        <v>30</v>
      </c>
    </row>
    <row r="30" spans="1:2" x14ac:dyDescent="0.25">
      <c r="A30" t="s">
        <v>31</v>
      </c>
      <c r="B30" s="11">
        <v>5064025000</v>
      </c>
    </row>
    <row r="31" spans="1:2" x14ac:dyDescent="0.25">
      <c r="A31" t="s">
        <v>32</v>
      </c>
      <c r="B31" s="13">
        <v>276684000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0.12819759843072576</v>
      </c>
      <c r="C5" s="10">
        <f>Assumptions!B6</f>
        <v>0.12819759843072576</v>
      </c>
      <c r="D5" s="10">
        <f>Assumptions!B6</f>
        <v>0.12819759843072576</v>
      </c>
      <c r="E5" s="10">
        <f>Assumptions!B6</f>
        <v>0.12819759843072576</v>
      </c>
      <c r="F5" s="10">
        <f>Assumptions!B6</f>
        <v>0.12819759843072576</v>
      </c>
    </row>
    <row r="6" spans="1:6" x14ac:dyDescent="0.25">
      <c r="A6" t="s">
        <v>43</v>
      </c>
      <c r="B6" s="18">
        <f>Assumptions!B29*(1+B5)</f>
        <v>8185924237.604132</v>
      </c>
      <c r="C6" s="18">
        <f>B6*(1+C5)</f>
        <v>9235340065.800852</v>
      </c>
      <c r="D6" s="18">
        <f>C6*(1+D5)</f>
        <v>10419288482.927582</v>
      </c>
      <c r="E6" s="18">
        <f>D6*(1+E5)</f>
        <v>11755016243.795818</v>
      </c>
      <c r="F6" s="18">
        <f>E6*(1+F5)</f>
        <v>13261981095.764612</v>
      </c>
    </row>
    <row r="7" spans="1:6" x14ac:dyDescent="0.25">
      <c r="A7" t="s">
        <v>5</v>
      </c>
      <c r="B7" s="10">
        <f>Assumptions!B7</f>
        <v>0.23902217596887027</v>
      </c>
      <c r="C7" s="10">
        <f>Assumptions!B7</f>
        <v>0.23902217596887027</v>
      </c>
      <c r="D7" s="10">
        <f>Assumptions!B7</f>
        <v>0.23902217596887027</v>
      </c>
      <c r="E7" s="10">
        <f>Assumptions!B7</f>
        <v>0.23902217596887027</v>
      </c>
      <c r="F7" s="10">
        <f>Assumptions!B7</f>
        <v>0.23902217596887027</v>
      </c>
    </row>
    <row r="8" spans="1:6" x14ac:dyDescent="0.25">
      <c r="A8" t="s">
        <v>44</v>
      </c>
      <c r="B8" s="18">
        <f>B6*B7</f>
        <v>1956617423.588455</v>
      </c>
      <c r="C8" s="18">
        <f>C6*C7</f>
        <v>2207451078.340209</v>
      </c>
      <c r="D8" s="18">
        <f>D6*D7</f>
        <v>2490441005.2367396</v>
      </c>
      <c r="E8" s="18">
        <f>E6*E7</f>
        <v>2809709561.1414924</v>
      </c>
      <c r="F8" s="18">
        <f>F6*F7</f>
        <v>3169907579.1676803</v>
      </c>
    </row>
    <row r="9" spans="1:6" x14ac:dyDescent="0.25">
      <c r="A9" t="s">
        <v>45</v>
      </c>
      <c r="B9" s="18">
        <f>B8*(1-Assumptions!B8)</f>
        <v>1460765168.410023</v>
      </c>
      <c r="C9" s="18">
        <f>C8*(1-Assumptions!B8)</f>
        <v>1648031754.8714426</v>
      </c>
      <c r="D9" s="18">
        <f>D8*(1-Assumptions!B8)</f>
        <v>1859305467.983536</v>
      </c>
      <c r="E9" s="18">
        <f>E8*(1-Assumptions!B8)</f>
        <v>2097663963.7281423</v>
      </c>
      <c r="F9" s="18">
        <f>F8*(1-Assumptions!B8)</f>
        <v>2366579446.192767</v>
      </c>
    </row>
    <row r="10" spans="1:6" x14ac:dyDescent="0.25">
      <c r="A10" t="s">
        <v>46</v>
      </c>
      <c r="B10" s="18">
        <f>B6*Assumptions!B9</f>
        <v>522797156.48704976</v>
      </c>
      <c r="C10" s="18">
        <f>C6*Assumptions!B9</f>
        <v>589818496.4151019</v>
      </c>
      <c r="D10" s="18">
        <f>D6*Assumptions!B9</f>
        <v>665431811.1655396</v>
      </c>
      <c r="E10" s="18">
        <f>E6*Assumptions!B9</f>
        <v>750738571.27637</v>
      </c>
      <c r="F10" s="18">
        <f>F6*Assumptions!B9</f>
        <v>846981453.1633148</v>
      </c>
    </row>
    <row r="11" spans="1:6" x14ac:dyDescent="0.25">
      <c r="A11" t="s">
        <v>47</v>
      </c>
      <c r="B11" s="18">
        <f>-B6*Assumptions!B10</f>
        <v>-317222129.3349519</v>
      </c>
      <c r="C11" s="18">
        <f>-C6*Assumptions!B10</f>
        <v>-357889244.4847738</v>
      </c>
      <c r="D11" s="18">
        <f>-D6*Assumptions!B10</f>
        <v>-403769786.13190866</v>
      </c>
      <c r="E11" s="18">
        <f>-E6*Assumptions!B10</f>
        <v>-455532103.0329071</v>
      </c>
      <c r="F11" s="18">
        <f>-F6*Assumptions!B10</f>
        <v>-513930224.6498237</v>
      </c>
    </row>
    <row r="12" spans="1:6" x14ac:dyDescent="0.25">
      <c r="A12" t="s">
        <v>48</v>
      </c>
      <c r="B12" s="18">
        <f>-(B6-Assumptions!B29)*Assumptions!B11</f>
        <v>-11507042.809511773</v>
      </c>
      <c r="C12" s="18">
        <f>-(C6-B6)*Assumptions!B11</f>
        <v>-12982218.062730748</v>
      </c>
      <c r="D12" s="18">
        <f>-(D6-C6)*Assumptions!B11</f>
        <v>-14646507.24067681</v>
      </c>
      <c r="E12" s="18">
        <f>-(E6-D6)*Assumptions!B11</f>
        <v>-16524154.29432982</v>
      </c>
      <c r="F12" s="18">
        <f>-(F6-E6)*Assumptions!B11</f>
        <v>-18642511.19096165</v>
      </c>
    </row>
    <row r="13" spans="1:6" x14ac:dyDescent="0.25">
      <c r="A13" s="19" t="s">
        <v>49</v>
      </c>
      <c r="B13" s="20">
        <f>B9+B10+B11+B12</f>
        <v>1654833152.7526093</v>
      </c>
      <c r="C13" s="20">
        <f>C9+C10+C11+C12</f>
        <v>1866978788.7390397</v>
      </c>
      <c r="D13" s="20">
        <f>D9+D10+D11+D12</f>
        <v>2106320985.77649</v>
      </c>
      <c r="E13" s="20">
        <f>E9+E10+E11+E12</f>
        <v>2376346277.6772757</v>
      </c>
      <c r="F13" s="20">
        <f>F9+F10+F11+F12</f>
        <v>2680988163.5152965</v>
      </c>
    </row>
    <row r="14" spans="1:6" x14ac:dyDescent="0.25">
      <c r="A14" t="s">
        <v>50</v>
      </c>
      <c r="B14" s="21">
        <f>1/(1+Assumptions!$B$26)^(1-0.5*Assumptions!$B$32)</f>
        <v>0.9708869836047231</v>
      </c>
      <c r="C14" s="21">
        <f>1/(1+Assumptions!$B$26)^(2-0.5*Assumptions!$B$32)</f>
        <v>0.9151789787320302</v>
      </c>
      <c r="D14" s="21">
        <f>1/(1+Assumptions!$B$26)^(3-0.5*Assumptions!$B$32)</f>
        <v>0.8626674136708732</v>
      </c>
      <c r="E14" s="21">
        <f>1/(1+Assumptions!$B$26)^(4-0.5*Assumptions!$B$32)</f>
        <v>0.813168881611187</v>
      </c>
      <c r="F14" s="21">
        <f>1/(1+Assumptions!$B$26)^(5-0.5*Assumptions!$B$32)</f>
        <v>0.7665104993441516</v>
      </c>
    </row>
    <row r="15" spans="1:6" x14ac:dyDescent="0.25">
      <c r="A15" s="19" t="s">
        <v>51</v>
      </c>
      <c r="B15" s="20">
        <f>B13*B14</f>
        <v>1606655968.045075</v>
      </c>
      <c r="C15" s="20">
        <f>C13*C14</f>
        <v>1708619741.192557</v>
      </c>
      <c r="D15" s="20">
        <f>D13*D14</f>
        <v>1817054477.1604886</v>
      </c>
      <c r="E15" s="20">
        <f>E13*E14</f>
        <v>1932370844.9397376</v>
      </c>
      <c r="F15" s="20">
        <f>F13*F14</f>
        <v>2055005575.95187</v>
      </c>
    </row>
    <row r="17" spans="1:2" x14ac:dyDescent="0.25">
      <c r="A17" s="22" t="s">
        <v>52</v>
      </c>
      <c r="B17" s="23">
        <f>SUM(B15:F15)</f>
        <v>9119706607.289728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2680988163.5152965</v>
      </c>
    </row>
    <row r="5" spans="1:2" x14ac:dyDescent="0.25">
      <c r="A5" t="s">
        <v>56</v>
      </c>
      <c r="B5" s="18">
        <f>IF(Assumptions!$B$33=0,B4,B4-Forecast!F11-Forecast!F10-Forecast!F12)</f>
        <v>2406197915.073047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0.06990569319582711</v>
      </c>
    </row>
    <row r="7" spans="1:2" x14ac:dyDescent="0.25">
      <c r="A7" t="s">
        <v>58</v>
      </c>
      <c r="B7" s="18">
        <f>-MAX(Forecast!F9,0)*B6</f>
        <v>-168206933.2195353</v>
      </c>
    </row>
    <row r="8" spans="1:2" x14ac:dyDescent="0.25">
      <c r="A8" t="s">
        <v>59</v>
      </c>
      <c r="B8" s="18">
        <f>IF(OR(Assumptions!$B$33=0,Assumptions!B12&lt;=0),B5,MAX(B5+B7,0))</f>
        <v>2237990981.853512</v>
      </c>
    </row>
    <row r="9" spans="1:2" x14ac:dyDescent="0.25">
      <c r="A9" t="s">
        <v>60</v>
      </c>
      <c r="B9" s="18">
        <f>B8*(1+Assumptions!B12)/(Assumptions!B26-Assumptions!B12)</f>
        <v>63949446802.9225</v>
      </c>
    </row>
    <row r="10" spans="1:2" x14ac:dyDescent="0.25">
      <c r="A10" t="s">
        <v>61</v>
      </c>
      <c r="B10" s="18">
        <f>B9/(1+Assumptions!B26)^(5-0.5*Assumptions!B32)</f>
        <v>49017922401.690384</v>
      </c>
    </row>
    <row r="11" spans="1:2" x14ac:dyDescent="0.25">
      <c r="A11" t="s">
        <v>62</v>
      </c>
      <c r="B11" s="18">
        <f>Forecast!B17+B10</f>
        <v>58137629008.98011</v>
      </c>
    </row>
    <row r="12" spans="1:2" x14ac:dyDescent="0.25">
      <c r="A12" t="s">
        <v>63</v>
      </c>
      <c r="B12" s="18">
        <f>-Assumptions!B30</f>
        <v>-5064025000</v>
      </c>
    </row>
    <row r="13" spans="1:2" x14ac:dyDescent="0.25">
      <c r="A13" t="s">
        <v>64</v>
      </c>
      <c r="B13" s="18">
        <f>B11+B12</f>
        <v>53073604008.98011</v>
      </c>
    </row>
    <row r="14" spans="1:2" x14ac:dyDescent="0.25">
      <c r="A14" s="19" t="s">
        <v>65</v>
      </c>
      <c r="B14" s="24">
        <f>B13/Assumptions!B31</f>
        <v>191.82028599044438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4016889032.330995</v>
      </c>
    </row>
    <row r="18" spans="1:2" x14ac:dyDescent="0.25">
      <c r="A18" t="s">
        <v>60</v>
      </c>
      <c r="B18" s="18">
        <f>B17*Assumptions!B13</f>
        <v>80337780646.6199</v>
      </c>
    </row>
    <row r="19" spans="1:2" x14ac:dyDescent="0.25">
      <c r="A19" t="s">
        <v>61</v>
      </c>
      <c r="B19" s="18">
        <f>B18/(1+Assumptions!B26)^(5-0.5*Assumptions!B32)</f>
        <v>61579752359.64154</v>
      </c>
    </row>
    <row r="20" spans="1:2" x14ac:dyDescent="0.25">
      <c r="A20" t="s">
        <v>62</v>
      </c>
      <c r="B20" s="18">
        <f>Forecast!B17+B19</f>
        <v>70699458966.93127</v>
      </c>
    </row>
    <row r="21" spans="1:2" x14ac:dyDescent="0.25">
      <c r="A21" t="s">
        <v>63</v>
      </c>
      <c r="B21" s="18">
        <f>-Assumptions!B30</f>
        <v>-5064025000</v>
      </c>
    </row>
    <row r="22" spans="1:2" x14ac:dyDescent="0.25">
      <c r="A22" t="s">
        <v>64</v>
      </c>
      <c r="B22" s="18">
        <f>B20+B21</f>
        <v>65635433966.931274</v>
      </c>
    </row>
    <row r="23" spans="1:2" x14ac:dyDescent="0.25">
      <c r="A23" s="19" t="s">
        <v>65</v>
      </c>
      <c r="B23" s="25">
        <f>B22/Assumptions!B31</f>
        <v>237.22164623516818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174.18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191.82028599044438</v>
      </c>
    </row>
    <row r="29" spans="1:2" x14ac:dyDescent="0.25">
      <c r="A29" s="19" t="s">
        <v>73</v>
      </c>
      <c r="B29" s="12">
        <f>B28/B26-1</f>
        <v>0.10127618550031214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0.040871</v>
      </c>
      <c r="B5" s="31">
        <v>289.3216906331873</v>
      </c>
      <c r="C5" s="31">
        <v>351.4195318969766</v>
      </c>
      <c r="D5" s="31">
        <v>452.58000883200884</v>
      </c>
      <c r="E5" s="31">
        <v>646.7024439540273</v>
      </c>
      <c r="F5" s="31">
        <v>1171.2982276232433</v>
      </c>
    </row>
    <row r="6" spans="1:6" x14ac:dyDescent="0.25">
      <c r="A6" s="30">
        <v>0.050871</v>
      </c>
      <c r="B6" s="31">
        <v>204.06721266380097</v>
      </c>
      <c r="C6" s="31">
        <v>232.47594372351537</v>
      </c>
      <c r="D6" s="31">
        <v>271.82799928248477</v>
      </c>
      <c r="E6" s="31">
        <v>329.9883531076021</v>
      </c>
      <c r="F6" s="31">
        <v>424.73310462500456</v>
      </c>
    </row>
    <row r="7" spans="1:6" x14ac:dyDescent="0.25">
      <c r="A7" s="30">
        <v>0.060871</v>
      </c>
      <c r="B7" s="31">
        <v>155.97202382185745</v>
      </c>
      <c r="C7" s="31">
        <v>171.71518960855292</v>
      </c>
      <c r="D7" s="32">
        <v>191.82120210498212</v>
      </c>
      <c r="E7" s="31">
        <v>218.4099375913435</v>
      </c>
      <c r="F7" s="31">
        <v>255.24007740384292</v>
      </c>
    </row>
    <row r="8" spans="1:6" x14ac:dyDescent="0.25">
      <c r="A8" s="30">
        <v>0.070871</v>
      </c>
      <c r="B8" s="31">
        <v>125.0844071445456</v>
      </c>
      <c r="C8" s="31">
        <v>134.82674685745525</v>
      </c>
      <c r="D8" s="31">
        <v>146.67346498445866</v>
      </c>
      <c r="E8" s="31">
        <v>161.39688606401597</v>
      </c>
      <c r="F8" s="31">
        <v>180.19994684972508</v>
      </c>
    </row>
    <row r="9" spans="1:6" x14ac:dyDescent="0.25">
      <c r="A9" s="30">
        <v>0.080871</v>
      </c>
      <c r="B9" s="31">
        <v>103.56820042021563</v>
      </c>
      <c r="C9" s="31">
        <v>110.04637511950024</v>
      </c>
      <c r="D9" s="31">
        <v>117.66870137798479</v>
      </c>
      <c r="E9" s="31">
        <v>126.77254770401395</v>
      </c>
      <c r="F9" s="31">
        <v>137.84237707012295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7255754000</v>
      </c>
      <c r="C5" s="18">
        <v>6413145000</v>
      </c>
      <c r="D5" s="18">
        <v>5867348000</v>
      </c>
      <c r="E5" s="18">
        <v>5052741000</v>
      </c>
      <c r="F5" s="8" t="s">
        <v>84</v>
      </c>
    </row>
    <row r="6" spans="1:6" x14ac:dyDescent="0.25">
      <c r="A6" t="s">
        <v>44</v>
      </c>
      <c r="B6" s="18">
        <v>1746323000</v>
      </c>
      <c r="C6" s="18">
        <v>1580773000</v>
      </c>
      <c r="D6" s="18">
        <v>1420428000</v>
      </c>
      <c r="E6" s="18">
        <v>1146102000</v>
      </c>
      <c r="F6" s="8" t="s">
        <v>85</v>
      </c>
    </row>
    <row r="7" spans="1:6" x14ac:dyDescent="0.25">
      <c r="A7" t="s">
        <v>86</v>
      </c>
      <c r="B7" s="18">
        <v>460019000</v>
      </c>
      <c r="C7" s="18">
        <v>411151000</v>
      </c>
      <c r="D7" s="18">
        <v>365445000</v>
      </c>
      <c r="E7" s="18">
        <v>331792000</v>
      </c>
      <c r="F7" s="8" t="s">
        <v>87</v>
      </c>
    </row>
    <row r="8" spans="1:6" x14ac:dyDescent="0.25">
      <c r="A8" t="s">
        <v>88</v>
      </c>
      <c r="B8" s="18">
        <v>279335000</v>
      </c>
      <c r="C8" s="18">
        <v>243450000</v>
      </c>
      <c r="D8" s="18">
        <v>278764000</v>
      </c>
      <c r="E8" s="18">
        <v>156827000</v>
      </c>
      <c r="F8" s="8" t="s">
        <v>89</v>
      </c>
    </row>
    <row r="9" spans="1:6" x14ac:dyDescent="0.25">
      <c r="A9" t="s">
        <v>90</v>
      </c>
      <c r="B9" s="18">
        <v>55874000</v>
      </c>
      <c r="C9" s="18">
        <v>6752000</v>
      </c>
      <c r="D9" s="18">
        <v>-52544000</v>
      </c>
      <c r="E9" s="18">
        <v>351218000</v>
      </c>
      <c r="F9" s="8" t="s">
        <v>91</v>
      </c>
    </row>
    <row r="10" spans="1:6" x14ac:dyDescent="0.25">
      <c r="A10" t="s">
        <v>92</v>
      </c>
      <c r="B10" s="18">
        <v>5395594000</v>
      </c>
      <c r="C10" s="18">
        <v>4709656000</v>
      </c>
      <c r="D10" s="18">
        <v>4333623000</v>
      </c>
      <c r="E10" s="18">
        <v>4212646000</v>
      </c>
      <c r="F10" s="8" t="s">
        <v>93</v>
      </c>
    </row>
    <row r="11" spans="1:6" x14ac:dyDescent="0.25">
      <c r="A11" t="s">
        <v>94</v>
      </c>
      <c r="B11" s="18">
        <v>331569000</v>
      </c>
      <c r="C11" s="18">
        <v>122685000</v>
      </c>
      <c r="D11" s="18">
        <v>313915000</v>
      </c>
      <c r="E11" s="18">
        <v>101261000</v>
      </c>
      <c r="F11" s="8" t="s">
        <v>95</v>
      </c>
    </row>
    <row r="12" spans="1:6" x14ac:dyDescent="0.25">
      <c r="A12" t="s">
        <v>32</v>
      </c>
      <c r="B12" s="34">
        <v>276684000</v>
      </c>
      <c r="C12" s="34">
        <v>280819000</v>
      </c>
      <c r="D12" s="34">
        <v>284168000</v>
      </c>
      <c r="E12" s="34">
        <v>291005000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2026-09-19T00:06:31Z</dcterms:modified>
</cp:coreProperties>
</file>