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<sst xmlns="http://schemas.openxmlformats.org/spreadsheetml/2006/main" count="119" uniqueCount="106">
  <si>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Dover Corporation (DOV)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</si>
  <si>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</si>
  <si>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</si>
  <si>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</si>
  <si>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</si>
  <si>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</si>
  <si>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</si>
  <si>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</si>
  <si>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</si>
  <si>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</si>
  <si>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</si>
  <si>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</si>
  <si>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</si>
  <si>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</si>
  <si>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</si>
  <si>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</si>
  <si>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</si>
  <si>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</si>
  <si>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</si>
  <si>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</si>
  <si>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</si>
  <si>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</si>
  <si>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</si>
  <si>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</si>
  <si>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12.5x interest cover. Book interest / average debt was lower, at 3.3%.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</si>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</sst>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0.07609968204171458</v>
      </c>
    </row>
    <row r="7" spans="1:2" x14ac:dyDescent="0.25">
      <c r="A7" t="s">
        <v>4</v>
      </c>
      <c r="B7" s="5">
        <v>0.16181393107210737</v>
      </c>
    </row>
    <row r="8" spans="1:2" x14ac:dyDescent="0.25">
      <c r="A8" t="s">
        <v>5</v>
      </c>
      <c r="B8" s="5">
        <v>0.18485922831747625</v>
      </c>
    </row>
    <row r="9" spans="1:2" x14ac:dyDescent="0.25">
      <c r="A9" t="s">
        <v>6</v>
      </c>
      <c r="B9" s="5">
        <v>0.04197699494837659</v>
      </c>
    </row>
    <row r="10" spans="1:3" x14ac:dyDescent="0.25">
      <c r="A10" t="s">
        <v>7</v>
      </c>
      <c r="B10" s="5">
        <v>0.024905745522689392</v>
      </c>
      <c r="C10" s="6" t="s">
        <v>8</v>
      </c>
    </row>
    <row r="11" spans="1:2" x14ac:dyDescent="0.25">
      <c r="A11" t="s">
        <v>9</v>
      </c>
      <c r="B11" s="5">
        <v>0.2158403518235711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16.844607601637936</v>
      </c>
    </row>
    <row r="14" spans="1:3" x14ac:dyDescent="0.25">
      <c r="A14" t="s">
        <v>12</v>
      </c>
      <c r="B14" s="5">
        <v>0.11016240007474253</v>
      </c>
      <c r="C14" s="6" t="s">
        <v>13</v>
      </c>
    </row>
    <row r="15" spans="1:3" x14ac:dyDescent="0.25">
      <c r="A15" t="s">
        <v>14</v>
      </c>
      <c r="B15" s="5">
        <v>0.019715300186404057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1.08442</v>
      </c>
      <c r="C19" s="6" t="s">
        <v>21</v>
      </c>
    </row>
    <row r="20" spans="1:2" x14ac:dyDescent="0.25">
      <c r="A20" t="s">
        <v>22</v>
      </c>
      <c r="B20" s="9">
        <f>B17+B19*B18</f>
        <v>0.094810966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27629557760</v>
      </c>
    </row>
    <row r="23" spans="1:2" x14ac:dyDescent="0.25">
      <c r="A23" t="s">
        <v>26</v>
      </c>
      <c r="B23" s="10">
        <v>3574803000</v>
      </c>
    </row>
    <row r="24" spans="1:2" x14ac:dyDescent="0.25">
      <c r="A24" t="s">
        <v>27</v>
      </c>
      <c r="B24" s="9">
        <f>B22/(B22+B23)</f>
        <v>0.8854389927262205</v>
      </c>
    </row>
    <row r="25" spans="1:2" x14ac:dyDescent="0.25">
      <c r="A25" t="s">
        <v>28</v>
      </c>
      <c r="B25" s="9">
        <f>1-B24</f>
        <v>0.11456100727377949</v>
      </c>
    </row>
    <row r="26" spans="1:2" x14ac:dyDescent="0.25">
      <c r="A26" t="s">
        <v>29</v>
      </c>
      <c r="B26" s="11">
        <f>B24*B20+B25*B21*(1-B8)</f>
        <v>0.08889304067088291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8092571000</v>
      </c>
      <c r="C29" s="6" t="s">
        <v>32</v>
      </c>
    </row>
    <row r="30" spans="1:2" x14ac:dyDescent="0.25">
      <c r="A30" t="s">
        <v>33</v>
      </c>
      <c r="B30" s="10">
        <v>1897995000</v>
      </c>
    </row>
    <row r="31" spans="1:2" x14ac:dyDescent="0.25">
      <c r="A31" t="s">
        <v>34</v>
      </c>
      <c r="B31" s="12">
        <v>137777000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0.07609968204171458</v>
      </c>
      <c r="C5" s="5">
        <v>0.056346342955058804</v>
      </c>
      <c r="D5" s="5">
        <v>0.052428050085676456</v>
      </c>
      <c r="E5" s="5">
        <v>0.0485097572162941</v>
      </c>
      <c r="F5" s="5">
        <v>0.044591464346911754</v>
      </c>
      <c r="G5" s="5">
        <v>0.0406731714775294</v>
      </c>
      <c r="H5" s="5">
        <v>0.03675487860814705</v>
      </c>
      <c r="I5" s="5">
        <v>0.032836585738764704</v>
      </c>
      <c r="J5" s="5">
        <v>0.028918292869382353</v>
      </c>
      <c r="K5" s="5">
        <v>0.025</v>
      </c>
    </row>
    <row r="6" spans="1:11" x14ac:dyDescent="0.25">
      <c r="A6" t="s">
        <v>50</v>
      </c>
      <c r="B6" s="18">
        <f>Assumptions!B29*(1+B5)</f>
        <v>8708413080</v>
      </c>
      <c r="C6" s="18">
        <f>B6*(1+C5)</f>
        <v>9199100310</v>
      </c>
      <c r="D6" s="18">
        <f>C6*(1+D5)</f>
        <v>9681391201.795841</v>
      </c>
      <c r="E6" s="18">
        <f>D6*(1+E5)</f>
        <v>10151033138.510923</v>
      </c>
      <c r="F6" s="18">
        <f>E6*(1+F5)</f>
        <v>10603682570.791155</v>
      </c>
      <c r="G6" s="18">
        <f>F6*(1+G5)</f>
        <v>11034967970.286234</v>
      </c>
      <c r="H6" s="18">
        <f>G6*(1+H5)</f>
        <v>11440556878.478895</v>
      </c>
      <c r="I6" s="18">
        <f>H6*(1+I5)</f>
        <v>11816225705.318281</v>
      </c>
      <c r="J6" s="18">
        <f>I6*(1+J5)</f>
        <v>12157930780.875399</v>
      </c>
      <c r="K6" s="18">
        <f>J6*(1+K5)</f>
        <v>12461879050.397282</v>
      </c>
    </row>
    <row r="7" spans="1:11" x14ac:dyDescent="0.25">
      <c r="A7" t="s">
        <v>4</v>
      </c>
      <c r="B7" s="9">
        <f>Assumptions!B7</f>
        <v>0.16181393107210737</v>
      </c>
      <c r="C7" s="9">
        <f>Assumptions!B7</f>
        <v>0.16181393107210737</v>
      </c>
      <c r="D7" s="9">
        <f>Assumptions!B7</f>
        <v>0.16181393107210737</v>
      </c>
      <c r="E7" s="9">
        <f>Assumptions!B7</f>
        <v>0.16181393107210737</v>
      </c>
      <c r="F7" s="9">
        <f>Assumptions!B7</f>
        <v>0.16181393107210737</v>
      </c>
      <c r="G7" s="9">
        <f>Assumptions!B7</f>
        <v>0.16181393107210737</v>
      </c>
      <c r="H7" s="9">
        <f>Assumptions!B7</f>
        <v>0.16181393107210737</v>
      </c>
      <c r="I7" s="9">
        <f>Assumptions!B7</f>
        <v>0.16181393107210737</v>
      </c>
      <c r="J7" s="9">
        <f>Assumptions!B7</f>
        <v>0.16181393107210737</v>
      </c>
      <c r="K7" s="9">
        <f>Assumptions!B7</f>
        <v>0.16181393107210737</v>
      </c>
    </row>
    <row r="8" spans="1:11" x14ac:dyDescent="0.25">
      <c r="A8" t="s">
        <v>51</v>
      </c>
      <c r="B8" s="18">
        <f>B6*B7</f>
        <v>1409142553.8745582</v>
      </c>
      <c r="C8" s="18">
        <f>C6*C7</f>
        <v>1488542583.4877415</v>
      </c>
      <c r="D8" s="18">
        <f>D6*D7</f>
        <v>1566583968.609499</v>
      </c>
      <c r="E8" s="18">
        <f>E6*E7</f>
        <v>1642578576.5856843</v>
      </c>
      <c r="F8" s="18">
        <f>F6*F7</f>
        <v>1715823560.6205063</v>
      </c>
      <c r="G8" s="18">
        <f>G6*G7</f>
        <v>1785611546.5268092</v>
      </c>
      <c r="H8" s="18">
        <f>H6*H7</f>
        <v>1851241482.1607077</v>
      </c>
      <c r="I8" s="18">
        <f>I6*I7</f>
        <v>1912029931.8128357</v>
      </c>
      <c r="J8" s="18">
        <f>J6*J7</f>
        <v>1967322573.3560243</v>
      </c>
      <c r="K8" s="18">
        <f>K6*K7</f>
        <v>2016505637.6899245</v>
      </c>
    </row>
    <row r="9" spans="1:11" x14ac:dyDescent="0.25">
      <c r="A9" t="s">
        <v>52</v>
      </c>
      <c r="B9" s="18">
        <f>B8*(1-Assumptions!B8)</f>
        <v>1148649548.7759898</v>
      </c>
      <c r="C9" s="18">
        <f>C8*(1-Assumptions!B8)</f>
        <v>1213371750.186495</v>
      </c>
      <c r="D9" s="18">
        <f>D8*(1-Assumptions!B8)</f>
        <v>1276986465.0778174</v>
      </c>
      <c r="E9" s="18">
        <f>E8*(1-Assumptions!B8)</f>
        <v>1338932768.467236</v>
      </c>
      <c r="F9" s="18">
        <f>F8*(1-Assumptions!B8)</f>
        <v>1398637741.275255</v>
      </c>
      <c r="G9" s="18">
        <f>G8*(1-Assumptions!B8)</f>
        <v>1455524773.961088</v>
      </c>
      <c r="H9" s="18">
        <f>H8*(1-Assumptions!B8)</f>
        <v>1509022410.3391783</v>
      </c>
      <c r="I9" s="18">
        <f>I8*(1-Assumptions!B8)</f>
        <v>1558573554.0979981</v>
      </c>
      <c r="J9" s="18">
        <f>J8*(1-Assumptions!B8)</f>
        <v>1603644840.593878</v>
      </c>
      <c r="K9" s="18">
        <f>K8*(1-Assumptions!B8)</f>
        <v>1643735961.6087246</v>
      </c>
    </row>
    <row r="10" spans="1:11" x14ac:dyDescent="0.25">
      <c r="A10" t="s">
        <v>53</v>
      </c>
      <c r="B10" s="18">
        <f>B6*Assumptions!B9</f>
        <v>365553011.8675366</v>
      </c>
      <c r="C10" s="18">
        <f>C6*Assumptions!B9</f>
        <v>386150587.2424795</v>
      </c>
      <c r="D10" s="18">
        <f>D6*Assumptions!B9</f>
        <v>406395709.5710416</v>
      </c>
      <c r="E10" s="18">
        <f>E6*Assumptions!B9</f>
        <v>426109866.7760764</v>
      </c>
      <c r="F10" s="18">
        <f>F6*Assumptions!B9</f>
        <v>445110729.7082892</v>
      </c>
      <c r="G10" s="18">
        <f>G6*Assumptions!B9</f>
        <v>463214794.74420273</v>
      </c>
      <c r="H10" s="18">
        <f>H6*Assumptions!B9</f>
        <v>480240198.2945236</v>
      </c>
      <c r="I10" s="18">
        <f>I6*Assumptions!B9</f>
        <v>496009646.74102306</v>
      </c>
      <c r="J10" s="18">
        <f>J6*Assumptions!B9</f>
        <v>510353398.9715189</v>
      </c>
      <c r="K10" s="18">
        <f>K6*Assumptions!B9</f>
        <v>523112233.94580674</v>
      </c>
    </row>
    <row r="11" spans="1:11" x14ac:dyDescent="0.25">
      <c r="A11" t="s">
        <v>54</v>
      </c>
      <c r="B11" s="18">
        <f>-B6*B19</f>
        <v>-216889520.07693973</v>
      </c>
      <c r="C11" s="18">
        <f>-C6*C19</f>
        <v>-258609919.47006598</v>
      </c>
      <c r="D11" s="18">
        <f>-D6*D19</f>
        <v>-303214400.9838595</v>
      </c>
      <c r="E11" s="18">
        <f>-E6*E19</f>
        <v>-350475362.87003577</v>
      </c>
      <c r="F11" s="18">
        <f>-F6*F19</f>
        <v>-400107223.4534009</v>
      </c>
      <c r="G11" s="18">
        <f>-G6*G19</f>
        <v>-451767540.4231548</v>
      </c>
      <c r="H11" s="18">
        <f>-H6*H19</f>
        <v>-505059522.18596095</v>
      </c>
      <c r="I11" s="18">
        <f>-I6*I19</f>
        <v>-559535959.4950801</v>
      </c>
      <c r="J11" s="18">
        <f>-J6*J19</f>
        <v>-614704563.4043889</v>
      </c>
      <c r="K11" s="18">
        <f>-K6*K19</f>
        <v>-670034651.1302197</v>
      </c>
    </row>
    <row r="12" spans="1:11" x14ac:dyDescent="0.25">
      <c r="A12" t="s">
        <v>55</v>
      </c>
      <c r="B12" s="18">
        <f>-(B6-Assumptions!B29)*Assumptions!B11</f>
        <v>-132923571.21495983</v>
      </c>
      <c r="C12" s="18">
        <f>-(C6-B6)*Assumptions!B11</f>
        <v>-105910104.35853356</v>
      </c>
      <c r="D12" s="18">
        <f>-(D6-C6)*Assumptions!B11</f>
        <v>-104097835.76651824</v>
      </c>
      <c r="E12" s="18">
        <f>-(E6-D6)*Assumptions!B11</f>
        <v>-101367680.85168666</v>
      </c>
      <c r="F12" s="18">
        <f>-(F6-E6)*Assumptions!B11</f>
        <v>-97700012.7161049</v>
      </c>
      <c r="G12" s="18">
        <f>-(G6-F6)*Assumptions!B11</f>
        <v>-93088792.36338729</v>
      </c>
      <c r="H12" s="18">
        <f>-(H6-G6)*Assumptions!B11</f>
        <v>-87542452.6400421</v>
      </c>
      <c r="I12" s="18">
        <f>-(I6-H6)*Assumptions!B11</f>
        <v>-81084491.75416128</v>
      </c>
      <c r="J12" s="18">
        <f>-(J6-I6)*Assumptions!B11</f>
        <v>-73753743.72814818</v>
      </c>
      <c r="K12" s="18">
        <f>-(K6-J6)*Assumptions!B11</f>
        <v>-65604301.429768845</v>
      </c>
    </row>
    <row r="13" spans="1:11" x14ac:dyDescent="0.25">
      <c r="A13" s="19" t="s">
        <v>56</v>
      </c>
      <c r="B13" s="20">
        <f>B9+B10+B11+B12</f>
        <v>1164389469.3516266</v>
      </c>
      <c r="C13" s="20">
        <f>C9+C10+C11+C12</f>
        <v>1235002313.600375</v>
      </c>
      <c r="D13" s="20">
        <f>D9+D10+D11+D12</f>
        <v>1276069937.8984814</v>
      </c>
      <c r="E13" s="20">
        <f>E9+E10+E11+E12</f>
        <v>1313199591.52159</v>
      </c>
      <c r="F13" s="20">
        <f>F9+F10+F11+F12</f>
        <v>1345941234.8140383</v>
      </c>
      <c r="G13" s="20">
        <f>G9+G10+G11+G12</f>
        <v>1373883235.9187486</v>
      </c>
      <c r="H13" s="20">
        <f>H9+H10+H11+H12</f>
        <v>1396660633.8076987</v>
      </c>
      <c r="I13" s="20">
        <f>I9+I10+I11+I12</f>
        <v>1413962749.5897799</v>
      </c>
      <c r="J13" s="20">
        <f>J9+J10+J11+J12</f>
        <v>1425539932.4328597</v>
      </c>
      <c r="K13" s="20">
        <f>K9+K10+K11+K12</f>
        <v>1431209242.9945426</v>
      </c>
    </row>
    <row r="14" spans="1:11" x14ac:dyDescent="0.25">
      <c r="A14" t="s">
        <v>57</v>
      </c>
      <c r="B14" s="21">
        <f>1/(1+Assumptions!$B$26)^(1-0.5*Assumptions!$B$32)</f>
        <v>0.9583130205444733</v>
      </c>
      <c r="C14" s="21">
        <f>1/(1+Assumptions!$B$26)^(2-0.5*Assumptions!$B$32)</f>
        <v>0.8800800305914734</v>
      </c>
      <c r="D14" s="21">
        <f>1/(1+Assumptions!$B$26)^(3-0.5*Assumptions!$B$32)</f>
        <v>0.8082336811053942</v>
      </c>
      <c r="E14" s="21">
        <f>1/(1+Assumptions!$B$26)^(4-0.5*Assumptions!$B$32)</f>
        <v>0.7422525913173524</v>
      </c>
      <c r="F14" s="21">
        <f>1/(1+Assumptions!$B$26)^(5-0.5*Assumptions!$B$32)</f>
        <v>0.681657943979548</v>
      </c>
      <c r="G14" s="21">
        <f>1/(1+Assumptions!$B$26)^(6-0.5*Assumptions!$B$32)</f>
        <v>0.6260100106430734</v>
      </c>
      <c r="H14" s="21">
        <f>1/(1+Assumptions!$B$26)^(7-0.5*Assumptions!$B$32)</f>
        <v>0.5749049605986823</v>
      </c>
      <c r="I14" s="21">
        <f>1/(1+Assumptions!$B$26)^(8-0.5*Assumptions!$B$32)</f>
        <v>0.527971930323363</v>
      </c>
      <c r="J14" s="21">
        <f>1/(1+Assumptions!$B$26)^(9-0.5*Assumptions!$B$32)</f>
        <v>0.48487033216602415</v>
      </c>
      <c r="K14" s="21">
        <f>1/(1+Assumptions!$B$26)^(10-0.5*Assumptions!$B$32)</f>
        <v>0.4452873827417323</v>
      </c>
    </row>
    <row r="15" spans="1:11" x14ac:dyDescent="0.25">
      <c r="A15" s="19" t="s">
        <v>58</v>
      </c>
      <c r="B15" s="20">
        <f>B13*B14</f>
        <v>1115849589.4645338</v>
      </c>
      <c r="C15" s="20">
        <f>C13*C14</f>
        <v>1086900873.9339585</v>
      </c>
      <c r="D15" s="20">
        <f>D13*D14</f>
        <v>1031362703.2556213</v>
      </c>
      <c r="E15" s="20">
        <f>E13*E14</f>
        <v>974725799.7237889</v>
      </c>
      <c r="F15" s="20">
        <f>F13*F14</f>
        <v>917471534.8406314</v>
      </c>
      <c r="G15" s="20">
        <f>G13*G14</f>
        <v>860064659.139836</v>
      </c>
      <c r="H15" s="20">
        <f>H13*H14</f>
        <v>802947126.6489458</v>
      </c>
      <c r="I15" s="20">
        <f>I13*I14</f>
        <v>746532642.306246</v>
      </c>
      <c r="J15" s="20">
        <f>J13*J14</f>
        <v>691202020.5546523</v>
      </c>
      <c r="K15" s="20">
        <f>K13*K14</f>
        <v>637299417.9688158</v>
      </c>
    </row>
    <row r="17" spans="1:2" x14ac:dyDescent="0.25">
      <c r="A17" s="22" t="s">
        <v>59</v>
      </c>
      <c r="B17" s="23">
        <f>SUM(B15:K15)</f>
        <v>8864356367.837029</v>
      </c>
    </row>
    <row r="19" spans="1:11" x14ac:dyDescent="0.25">
      <c r="A19" t="s">
        <v>7</v>
      </c>
      <c r="B19" s="9">
        <f>Assumptions!$B$10+($B$20-Assumptions!$B$10)*0/9</f>
        <v>0.024905745522689392</v>
      </c>
      <c r="C19" s="9">
        <f>Assumptions!$B$10+($B$20-Assumptions!$B$10)*1/9</f>
        <v>0.028112523046296252</v>
      </c>
      <c r="D19" s="9">
        <f>Assumptions!$B$10+($B$20-Assumptions!$B$10)*2/9</f>
        <v>0.03131930056990311</v>
      </c>
      <c r="E19" s="9">
        <f>Assumptions!$B$10+($B$20-Assumptions!$B$10)*3/9</f>
        <v>0.03452607809350997</v>
      </c>
      <c r="F19" s="9">
        <f>Assumptions!$B$10+($B$20-Assumptions!$B$10)*4/9</f>
        <v>0.03773285561711683</v>
      </c>
      <c r="G19" s="9">
        <f>Assumptions!$B$10+($B$20-Assumptions!$B$10)*5/9</f>
        <v>0.04093963314072369</v>
      </c>
      <c r="H19" s="9">
        <f>Assumptions!$B$10+($B$20-Assumptions!$B$10)*6/9</f>
        <v>0.04414641066433055</v>
      </c>
      <c r="I19" s="9">
        <f>Assumptions!$B$10+($B$20-Assumptions!$B$10)*7/9</f>
        <v>0.04735318818793741</v>
      </c>
      <c r="J19" s="9">
        <f>Assumptions!$B$10+($B$20-Assumptions!$B$10)*8/9</f>
        <v>0.05055996571154427</v>
      </c>
      <c r="K19" s="9">
        <f>Assumptions!$B$10+($B$20-Assumptions!$B$10)*9/9</f>
        <v>0.05376674323515113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0.05376674323515113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1431209242.9945426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1869874391.1256776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0.22693768457330366</v>
      </c>
    </row>
    <row r="7" spans="1:2" x14ac:dyDescent="0.25">
      <c r="A7" t="s">
        <v>66</v>
      </c>
      <c r="B7" s="18">
        <f>-MAX(B5,0)*B6</f>
        <v>-424344964.7649773</v>
      </c>
    </row>
    <row r="8" spans="1:2" x14ac:dyDescent="0.25">
      <c r="A8" t="s">
        <v>67</v>
      </c>
      <c r="B8" s="18">
        <f>IF(OR(Assumptions!$B$33=0,Assumptions!B12&lt;=0),B5,MAX(B5+B7,0))</f>
        <v>1445529426.3607004</v>
      </c>
    </row>
    <row r="9" spans="1:2" x14ac:dyDescent="0.25">
      <c r="A9" t="s">
        <v>68</v>
      </c>
      <c r="B9" s="18">
        <f>B8*(1+Assumptions!B12)/(Assumptions!B26-Assumptions!B12)</f>
        <v>23189812950.86395</v>
      </c>
    </row>
    <row r="10" spans="1:2" x14ac:dyDescent="0.25">
      <c r="A10" t="s">
        <v>69</v>
      </c>
      <c r="B10" s="18">
        <f>B9/(1+Assumptions!B26)^(10-0.5*Assumptions!B32)</f>
        <v>10326131115.160536</v>
      </c>
    </row>
    <row r="11" spans="1:2" x14ac:dyDescent="0.25">
      <c r="A11" t="s">
        <v>70</v>
      </c>
      <c r="B11" s="18">
        <f>Forecast!B17+B10</f>
        <v>19190487482.997566</v>
      </c>
    </row>
    <row r="12" spans="1:2" x14ac:dyDescent="0.25">
      <c r="A12" t="s">
        <v>71</v>
      </c>
      <c r="B12" s="18">
        <f>-Assumptions!B30</f>
        <v>-1897995000</v>
      </c>
    </row>
    <row r="13" spans="1:2" x14ac:dyDescent="0.25">
      <c r="A13" t="s">
        <v>72</v>
      </c>
      <c r="B13" s="18">
        <f>B11+B12</f>
        <v>17292492482.997566</v>
      </c>
    </row>
    <row r="14" spans="1:2" x14ac:dyDescent="0.25">
      <c r="A14" s="19" t="s">
        <v>73</v>
      </c>
      <c r="B14" s="24">
        <f>B13/Assumptions!B31</f>
        <v>125.51073461461323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2539617871.635731</v>
      </c>
    </row>
    <row r="18" spans="1:2" x14ac:dyDescent="0.25">
      <c r="A18" t="s">
        <v>68</v>
      </c>
      <c r="B18" s="18">
        <f>B17*Assumptions!B13</f>
        <v>42778866505.81079</v>
      </c>
    </row>
    <row r="19" spans="1:2" x14ac:dyDescent="0.25">
      <c r="A19" t="s">
        <v>69</v>
      </c>
      <c r="B19" s="18">
        <f>B18/(1+Assumptions!B26)^(10-0.5*Assumptions!B32)</f>
        <v>19048889503.03044</v>
      </c>
    </row>
    <row r="20" spans="1:2" x14ac:dyDescent="0.25">
      <c r="A20" t="s">
        <v>70</v>
      </c>
      <c r="B20" s="18">
        <f>Forecast!B17+B19</f>
        <v>27913245870.86747</v>
      </c>
    </row>
    <row r="21" spans="1:2" x14ac:dyDescent="0.25">
      <c r="A21" t="s">
        <v>71</v>
      </c>
      <c r="B21" s="18">
        <f>-Assumptions!B30</f>
        <v>-1897995000</v>
      </c>
    </row>
    <row r="22" spans="1:2" x14ac:dyDescent="0.25">
      <c r="A22" t="s">
        <v>72</v>
      </c>
      <c r="B22" s="18">
        <f>B20+B21</f>
        <v>26015250870.86747</v>
      </c>
    </row>
    <row r="23" spans="1:2" x14ac:dyDescent="0.25">
      <c r="A23" s="19" t="s">
        <v>73</v>
      </c>
      <c r="B23" s="25">
        <f>B22/Assumptions!B31</f>
        <v>188.8214351514946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207.74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125.51073461461323</v>
      </c>
    </row>
    <row r="29" spans="1:2" x14ac:dyDescent="0.25">
      <c r="A29" s="19" t="s">
        <v>81</v>
      </c>
      <c r="B29" s="11">
        <f>B28/B26-1</f>
        <v>-0.3958277913997631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0.068893</v>
      </c>
      <c r="B5" s="31">
        <v>177.09695427707862</v>
      </c>
      <c r="C5" s="31">
        <v>181.0989474685563</v>
      </c>
      <c r="D5" s="31">
        <v>186.34856888149338</v>
      </c>
      <c r="E5" s="31">
        <v>193.3269956768673</v>
      </c>
      <c r="F5" s="31">
        <v>202.79934397707945</v>
      </c>
    </row>
    <row r="6" spans="1:6" x14ac:dyDescent="0.25">
      <c r="A6" s="30">
        <v>0.078893</v>
      </c>
      <c r="B6" s="31">
        <v>147.22021800769448</v>
      </c>
      <c r="C6" s="31">
        <v>148.51101999578998</v>
      </c>
      <c r="D6" s="31">
        <v>150.29993325142925</v>
      </c>
      <c r="E6" s="31">
        <v>152.73977451756448</v>
      </c>
      <c r="F6" s="31">
        <v>156.0529920241511</v>
      </c>
    </row>
    <row r="7" spans="1:6" x14ac:dyDescent="0.25">
      <c r="A7" s="30">
        <v>0.088893</v>
      </c>
      <c r="B7" s="31">
        <v>125.45704785088665</v>
      </c>
      <c r="C7" s="31">
        <v>125.38627941537656</v>
      </c>
      <c r="D7" s="32">
        <v>125.51081970208669</v>
      </c>
      <c r="E7" s="31">
        <v>125.8804136863673</v>
      </c>
      <c r="F7" s="31">
        <v>126.56326698793812</v>
      </c>
    </row>
    <row r="8" spans="1:6" x14ac:dyDescent="0.25">
      <c r="A8" s="30">
        <v>0.098893</v>
      </c>
      <c r="B8" s="31">
        <v>108.90421275734892</v>
      </c>
      <c r="C8" s="31">
        <v>108.12600976678529</v>
      </c>
      <c r="D8" s="31">
        <v>107.41148408029498</v>
      </c>
      <c r="E8" s="31">
        <v>106.77450008992218</v>
      </c>
      <c r="F8" s="31">
        <v>106.2332620659589</v>
      </c>
    </row>
    <row r="9" spans="1:6" x14ac:dyDescent="0.25">
      <c r="A9" s="30">
        <v>0.108893</v>
      </c>
      <c r="B9" s="31">
        <v>95.8954492660512</v>
      </c>
      <c r="C9" s="31">
        <v>94.7508604651028</v>
      </c>
      <c r="D9" s="31">
        <v>93.6109102156684</v>
      </c>
      <c r="E9" s="31">
        <v>92.47648044989295</v>
      </c>
      <c r="F9" s="31">
        <v>91.34869180511532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8092571000</v>
      </c>
      <c r="C5" s="18">
        <v>7745909000</v>
      </c>
      <c r="D5" s="18">
        <v>7684476000</v>
      </c>
      <c r="E5" s="18">
        <v>7844174000</v>
      </c>
      <c r="F5" s="6" t="s">
        <v>91</v>
      </c>
    </row>
    <row r="6" spans="1:6" x14ac:dyDescent="0.25">
      <c r="A6" t="s">
        <v>51</v>
      </c>
      <c r="B6" s="18">
        <v>1373361000</v>
      </c>
      <c r="C6" s="18">
        <v>1206355000</v>
      </c>
      <c r="D6" s="18">
        <v>1219340000</v>
      </c>
      <c r="E6" s="18">
        <v>1279641000</v>
      </c>
      <c r="F6" s="6" t="s">
        <v>92</v>
      </c>
    </row>
    <row r="7" spans="1:6" x14ac:dyDescent="0.25">
      <c r="A7" t="s">
        <v>93</v>
      </c>
      <c r="B7" s="18">
        <v>379577000</v>
      </c>
      <c r="C7" s="18">
        <v>337842000</v>
      </c>
      <c r="D7" s="18">
        <v>305046000</v>
      </c>
      <c r="E7" s="18">
        <v>295660000</v>
      </c>
      <c r="F7" s="6" t="s">
        <v>94</v>
      </c>
    </row>
    <row r="8" spans="1:6" x14ac:dyDescent="0.25">
      <c r="A8" t="s">
        <v>95</v>
      </c>
      <c r="B8" s="18">
        <v>220263000</v>
      </c>
      <c r="C8" s="18">
        <v>167533000</v>
      </c>
      <c r="D8" s="18">
        <v>183406000</v>
      </c>
      <c r="E8" s="18">
        <v>211082000</v>
      </c>
      <c r="F8" s="6" t="s">
        <v>96</v>
      </c>
    </row>
    <row r="9" spans="1:6" x14ac:dyDescent="0.25">
      <c r="A9" t="s">
        <v>97</v>
      </c>
      <c r="B9" s="18">
        <v>119082000</v>
      </c>
      <c r="C9" s="18">
        <v>12737000</v>
      </c>
      <c r="D9" s="18">
        <v>-45129000</v>
      </c>
      <c r="E9" s="18">
        <v>518252000</v>
      </c>
      <c r="F9" s="6" t="s">
        <v>98</v>
      </c>
    </row>
    <row r="10" spans="1:6" x14ac:dyDescent="0.25">
      <c r="A10" t="s">
        <v>99</v>
      </c>
      <c r="B10" s="18">
        <v>3574803000</v>
      </c>
      <c r="C10" s="18">
        <v>3153953000</v>
      </c>
      <c r="D10" s="18">
        <v>3678836000</v>
      </c>
      <c r="E10" s="18">
        <v>3886675000</v>
      </c>
      <c r="F10" s="6" t="s">
        <v>100</v>
      </c>
    </row>
    <row r="11" spans="1:6" x14ac:dyDescent="0.25">
      <c r="A11" t="s">
        <v>101</v>
      </c>
      <c r="B11" s="18">
        <v>1676808000</v>
      </c>
      <c r="C11" s="18">
        <v>1844877000</v>
      </c>
      <c r="D11" s="18">
        <v>398561000</v>
      </c>
      <c r="E11" s="18">
        <v>380868000</v>
      </c>
      <c r="F11" s="6" t="s">
        <v>102</v>
      </c>
    </row>
    <row r="12" spans="1:6" x14ac:dyDescent="0.25">
      <c r="A12" t="s">
        <v>34</v>
      </c>
      <c r="B12" s="34">
        <v>137777000</v>
      </c>
      <c r="C12" s="34">
        <v>138696000</v>
      </c>
      <c r="D12" s="34">
        <v>140599000</v>
      </c>
      <c r="E12" s="34">
        <v>143595000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