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<sst xmlns="http://schemas.openxmlformats.org/spreadsheetml/2006/main" count="111" uniqueCount="99">
  <si>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Dover Corporation (DOV)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</si>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</sst>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0.010445978801371991</v>
      </c>
    </row>
    <row r="7" spans="1:2" x14ac:dyDescent="0.25">
      <c r="A7" t="s">
        <v>5</v>
      </c>
      <c r="B7" s="6">
        <v>0.16181393107210737</v>
      </c>
    </row>
    <row r="8" spans="1:2" x14ac:dyDescent="0.25">
      <c r="A8" t="s">
        <v>6</v>
      </c>
      <c r="B8" s="6">
        <v>0.18485922831747625</v>
      </c>
    </row>
    <row r="9" spans="1:2" x14ac:dyDescent="0.25">
      <c r="A9" t="s">
        <v>7</v>
      </c>
      <c r="B9" s="6">
        <v>0.04197699494837659</v>
      </c>
    </row>
    <row r="10" spans="1:2" x14ac:dyDescent="0.25">
      <c r="A10" t="s">
        <v>8</v>
      </c>
      <c r="B10" s="6">
        <v>0.024905745522689392</v>
      </c>
    </row>
    <row r="11" spans="1:2" x14ac:dyDescent="0.25">
      <c r="A11" t="s">
        <v>9</v>
      </c>
      <c r="B11" s="6">
        <v>0.2825896379416148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15.482443153152023</v>
      </c>
    </row>
    <row r="14" spans="1:3" x14ac:dyDescent="0.25">
      <c r="A14" t="s">
        <v>12</v>
      </c>
      <c r="B14" s="6">
        <v>0.11016240007474253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1.09782</v>
      </c>
      <c r="C19" s="8" t="s">
        <v>19</v>
      </c>
    </row>
    <row r="20" spans="1:2" x14ac:dyDescent="0.25">
      <c r="A20" t="s">
        <v>20</v>
      </c>
      <c r="B20" s="10">
        <f>B17+B19*B18</f>
        <v>0.1103601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25241767936</v>
      </c>
    </row>
    <row r="23" spans="1:2" x14ac:dyDescent="0.25">
      <c r="A23" t="s">
        <v>24</v>
      </c>
      <c r="B23" s="11">
        <v>3574803000</v>
      </c>
    </row>
    <row r="24" spans="1:2" x14ac:dyDescent="0.25">
      <c r="A24" t="s">
        <v>25</v>
      </c>
      <c r="B24" s="10">
        <f>B22/(B22+B23)</f>
        <v>0.8759462738318367</v>
      </c>
    </row>
    <row r="25" spans="1:2" x14ac:dyDescent="0.25">
      <c r="A25" t="s">
        <v>26</v>
      </c>
      <c r="B25" s="10">
        <f>1-B24</f>
        <v>0.12405372616816335</v>
      </c>
    </row>
    <row r="26" spans="1:2" x14ac:dyDescent="0.25">
      <c r="A26" t="s">
        <v>27</v>
      </c>
      <c r="B26" s="12">
        <f>B24*B20+B25*B21*(1-B8)</f>
        <v>0.10172355845364776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8092571000</v>
      </c>
      <c r="C29" s="8" t="s">
        <v>30</v>
      </c>
    </row>
    <row r="30" spans="1:2" x14ac:dyDescent="0.25">
      <c r="A30" t="s">
        <v>31</v>
      </c>
      <c r="B30" s="11">
        <v>1897995000</v>
      </c>
    </row>
    <row r="31" spans="1:2" x14ac:dyDescent="0.25">
      <c r="A31" t="s">
        <v>32</v>
      </c>
      <c r="B31" s="13">
        <v>137777000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0.010445978801371991</v>
      </c>
      <c r="C5" s="10">
        <f>Assumptions!B6</f>
        <v>0.010445978801371991</v>
      </c>
      <c r="D5" s="10">
        <f>Assumptions!B6</f>
        <v>0.010445978801371991</v>
      </c>
      <c r="E5" s="10">
        <f>Assumptions!B6</f>
        <v>0.010445978801371991</v>
      </c>
      <c r="F5" s="10">
        <f>Assumptions!B6</f>
        <v>0.010445978801371991</v>
      </c>
    </row>
    <row r="6" spans="1:6" x14ac:dyDescent="0.25">
      <c r="A6" t="s">
        <v>43</v>
      </c>
      <c r="B6" s="18">
        <f>Assumptions!B29*(1+B5)</f>
        <v>8177105825.114597</v>
      </c>
      <c r="C6" s="18">
        <f>B6*(1+C5)</f>
        <v>8262523699.22032</v>
      </c>
      <c r="D6" s="18">
        <f>C6*(1+D5)</f>
        <v>8348833846.628209</v>
      </c>
      <c r="E6" s="18">
        <f>D6*(1+E5)</f>
        <v>8436045588.006265</v>
      </c>
      <c r="F6" s="18">
        <f>E6*(1+F5)</f>
        <v>8524168341.385985</v>
      </c>
    </row>
    <row r="7" spans="1:6" x14ac:dyDescent="0.25">
      <c r="A7" t="s">
        <v>5</v>
      </c>
      <c r="B7" s="10">
        <f>Assumptions!B7</f>
        <v>0.16181393107210737</v>
      </c>
      <c r="C7" s="10">
        <f>Assumptions!B7</f>
        <v>0.16181393107210737</v>
      </c>
      <c r="D7" s="10">
        <f>Assumptions!B7</f>
        <v>0.16181393107210737</v>
      </c>
      <c r="E7" s="10">
        <f>Assumptions!B7</f>
        <v>0.16181393107210737</v>
      </c>
      <c r="F7" s="10">
        <f>Assumptions!B7</f>
        <v>0.16181393107210737</v>
      </c>
    </row>
    <row r="8" spans="1:6" x14ac:dyDescent="0.25">
      <c r="A8" t="s">
        <v>44</v>
      </c>
      <c r="B8" s="18">
        <f>B6*B7</f>
        <v>1323169638.3544211</v>
      </c>
      <c r="C8" s="18">
        <f>C6*C7</f>
        <v>1336991440.3472905</v>
      </c>
      <c r="D8" s="18">
        <f>D6*D7</f>
        <v>1350957624.590774</v>
      </c>
      <c r="E8" s="18">
        <f>E6*E7</f>
        <v>1365069699.2988012</v>
      </c>
      <c r="F8" s="18">
        <f>F6*F7</f>
        <v>1379329188.4400716</v>
      </c>
    </row>
    <row r="9" spans="1:6" x14ac:dyDescent="0.25">
      <c r="A9" t="s">
        <v>45</v>
      </c>
      <c r="B9" s="18">
        <f>B8*(1-Assumptions!B8)</f>
        <v>1078569520.0751088</v>
      </c>
      <c r="C9" s="18">
        <f>C8*(1-Assumptions!B8)</f>
        <v>1089836234.4176192</v>
      </c>
      <c r="D9" s="18">
        <f>D8*(1-Assumptions!B8)</f>
        <v>1101220640.6193128</v>
      </c>
      <c r="E9" s="18">
        <f>E8*(1-Assumptions!B8)</f>
        <v>1112723968.0868554</v>
      </c>
      <c r="F9" s="18">
        <f>F8*(1-Assumptions!B8)</f>
        <v>1124347459.0692692</v>
      </c>
    </row>
    <row r="10" spans="1:6" x14ac:dyDescent="0.25">
      <c r="A10" t="s">
        <v>46</v>
      </c>
      <c r="B10" s="18">
        <f>B6*Assumptions!B9</f>
        <v>343250329.91317624</v>
      </c>
      <c r="C10" s="18">
        <f>C6*Assumptions!B9</f>
        <v>346835915.58301324</v>
      </c>
      <c r="D10" s="18">
        <f>D6*Assumptions!B9</f>
        <v>350458956.2047478</v>
      </c>
      <c r="E10" s="18">
        <f>E6*Assumptions!B9</f>
        <v>354119843.0320136</v>
      </c>
      <c r="F10" s="18">
        <f>F6*Assumptions!B9</f>
        <v>357818971.40547115</v>
      </c>
    </row>
    <row r="11" spans="1:6" x14ac:dyDescent="0.25">
      <c r="A11" t="s">
        <v>47</v>
      </c>
      <c r="B11" s="18">
        <f>-B6*Assumptions!B10</f>
        <v>-203656916.79240522</v>
      </c>
      <c r="C11" s="18">
        <f>-C6*Assumptions!B10</f>
        <v>-205784312.62797147</v>
      </c>
      <c r="D11" s="18">
        <f>-D6*Assumptions!B10</f>
        <v>-207933931.19533816</v>
      </c>
      <c r="E11" s="18">
        <f>-E6*Assumptions!B10</f>
        <v>-210106004.63269064</v>
      </c>
      <c r="F11" s="18">
        <f>-F6*Assumptions!B10</f>
        <v>-212300767.50312465</v>
      </c>
    </row>
    <row r="12" spans="1:6" x14ac:dyDescent="0.25">
      <c r="A12" t="s">
        <v>48</v>
      </c>
      <c r="B12" s="18">
        <f>-(B6-Assumptions!B29)*Assumptions!B11</f>
        <v>-23888665.622591782</v>
      </c>
      <c r="C12" s="18">
        <f>-(C6-B6)*Assumptions!B11</f>
        <v>-24138206.117278535</v>
      </c>
      <c r="D12" s="18">
        <f>-(D6-C6)*Assumptions!B11</f>
        <v>-24390353.30668286</v>
      </c>
      <c r="E12" s="18">
        <f>-(E6-D6)*Assumptions!B11</f>
        <v>-24645134.42028247</v>
      </c>
      <c r="F12" s="18">
        <f>-(F6-E6)*Assumptions!B11</f>
        <v>-24902576.97199348</v>
      </c>
    </row>
    <row r="13" spans="1:6" x14ac:dyDescent="0.25">
      <c r="A13" s="19" t="s">
        <v>49</v>
      </c>
      <c r="B13" s="20">
        <f>B9+B10+B11+B12</f>
        <v>1194274267.5732882</v>
      </c>
      <c r="C13" s="20">
        <f>C9+C10+C11+C12</f>
        <v>1206749631.2553825</v>
      </c>
      <c r="D13" s="20">
        <f>D9+D10+D11+D12</f>
        <v>1219355312.3220394</v>
      </c>
      <c r="E13" s="20">
        <f>E9+E10+E11+E12</f>
        <v>1232092672.065896</v>
      </c>
      <c r="F13" s="20">
        <f>F9+F10+F11+F12</f>
        <v>1244963085.999622</v>
      </c>
    </row>
    <row r="14" spans="1:6" x14ac:dyDescent="0.25">
      <c r="A14" t="s">
        <v>50</v>
      </c>
      <c r="B14" s="21">
        <f>1/(1+Assumptions!$B$26)^(1-0.5*Assumptions!$B$32)</f>
        <v>0.952716489319526</v>
      </c>
      <c r="C14" s="21">
        <f>1/(1+Assumptions!$B$26)^(2-0.5*Assumptions!$B$32)</f>
        <v>0.8647509459239808</v>
      </c>
      <c r="D14" s="21">
        <f>1/(1+Assumptions!$B$26)^(3-0.5*Assumptions!$B$32)</f>
        <v>0.7849073747117871</v>
      </c>
      <c r="E14" s="21">
        <f>1/(1+Assumptions!$B$26)^(4-0.5*Assumptions!$B$32)</f>
        <v>0.7124358635059632</v>
      </c>
      <c r="F14" s="21">
        <f>1/(1+Assumptions!$B$26)^(5-0.5*Assumptions!$B$32)</f>
        <v>0.6466557404889487</v>
      </c>
    </row>
    <row r="15" spans="1:6" x14ac:dyDescent="0.25">
      <c r="A15" s="19" t="s">
        <v>51</v>
      </c>
      <c r="B15" s="20">
        <f>B13*B14</f>
        <v>1137804787.4870713</v>
      </c>
      <c r="C15" s="20">
        <f>C13*C14</f>
        <v>1043537885.1215072</v>
      </c>
      <c r="D15" s="20">
        <f>D13*D14</f>
        <v>957080977.0355631</v>
      </c>
      <c r="E15" s="20">
        <f>E13*E14</f>
        <v>877787006.7426362</v>
      </c>
      <c r="F15" s="20">
        <f>F13*F14</f>
        <v>805062526.2584924</v>
      </c>
    </row>
    <row r="17" spans="1:2" x14ac:dyDescent="0.25">
      <c r="A17" s="22" t="s">
        <v>52</v>
      </c>
      <c r="B17" s="23">
        <f>SUM(B15:F15)</f>
        <v>4821273182.64527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1244963085.999622</v>
      </c>
    </row>
    <row r="5" spans="1:2" x14ac:dyDescent="0.25">
      <c r="A5" t="s">
        <v>56</v>
      </c>
      <c r="B5" s="18">
        <f>IF(Assumptions!$B$33=0,B4,B4-Forecast!F11-Forecast!F10-Forecast!F12)</f>
        <v>1279030555.7245607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0.22693768457330366</v>
      </c>
    </row>
    <row r="7" spans="1:2" x14ac:dyDescent="0.25">
      <c r="A7" t="s">
        <v>58</v>
      </c>
      <c r="B7" s="18">
        <f>-MAX(Forecast!F9,0)*B6</f>
        <v>-290260232.81463766</v>
      </c>
    </row>
    <row r="8" spans="1:2" x14ac:dyDescent="0.25">
      <c r="A8" t="s">
        <v>59</v>
      </c>
      <c r="B8" s="18">
        <f>IF(OR(Assumptions!$B$33=0,Assumptions!B12&lt;=0),B5,MAX(B5+B7,0))</f>
        <v>988770322.9099231</v>
      </c>
    </row>
    <row r="9" spans="1:2" x14ac:dyDescent="0.25">
      <c r="A9" t="s">
        <v>60</v>
      </c>
      <c r="B9" s="18">
        <f>B8*(1+Assumptions!B12)/(Assumptions!B26-Assumptions!B12)</f>
        <v>13209626891.784052</v>
      </c>
    </row>
    <row r="10" spans="1:2" x14ac:dyDescent="0.25">
      <c r="A10" t="s">
        <v>61</v>
      </c>
      <c r="B10" s="18">
        <f>B9/(1+Assumptions!B26)^(5-0.5*Assumptions!B32)</f>
        <v>8542081059.289346</v>
      </c>
    </row>
    <row r="11" spans="1:2" x14ac:dyDescent="0.25">
      <c r="A11" t="s">
        <v>62</v>
      </c>
      <c r="B11" s="18">
        <f>Forecast!B17+B10</f>
        <v>13363354241.934616</v>
      </c>
    </row>
    <row r="12" spans="1:2" x14ac:dyDescent="0.25">
      <c r="A12" t="s">
        <v>63</v>
      </c>
      <c r="B12" s="18">
        <f>-Assumptions!B30</f>
        <v>-1897995000</v>
      </c>
    </row>
    <row r="13" spans="1:2" x14ac:dyDescent="0.25">
      <c r="A13" t="s">
        <v>64</v>
      </c>
      <c r="B13" s="18">
        <f>B11+B12</f>
        <v>11465359241.934616</v>
      </c>
    </row>
    <row r="14" spans="1:2" x14ac:dyDescent="0.25">
      <c r="A14" s="19" t="s">
        <v>65</v>
      </c>
      <c r="B14" s="24">
        <f>B13/Assumptions!B31</f>
        <v>83.21678685074153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1737148159.8455427</v>
      </c>
    </row>
    <row r="18" spans="1:2" x14ac:dyDescent="0.25">
      <c r="A18" t="s">
        <v>60</v>
      </c>
      <c r="B18" s="18">
        <f>B17*Assumptions!B13</f>
        <v>26895297633.41126</v>
      </c>
    </row>
    <row r="19" spans="1:2" x14ac:dyDescent="0.25">
      <c r="A19" t="s">
        <v>61</v>
      </c>
      <c r="B19" s="18">
        <f>B18/(1+Assumptions!B26)^(5-0.5*Assumptions!B32)</f>
        <v>17391998606.804226</v>
      </c>
    </row>
    <row r="20" spans="1:2" x14ac:dyDescent="0.25">
      <c r="A20" t="s">
        <v>62</v>
      </c>
      <c r="B20" s="18">
        <f>Forecast!B17+B19</f>
        <v>22213271789.449497</v>
      </c>
    </row>
    <row r="21" spans="1:2" x14ac:dyDescent="0.25">
      <c r="A21" t="s">
        <v>63</v>
      </c>
      <c r="B21" s="18">
        <f>-Assumptions!B30</f>
        <v>-1897995000</v>
      </c>
    </row>
    <row r="22" spans="1:2" x14ac:dyDescent="0.25">
      <c r="A22" t="s">
        <v>64</v>
      </c>
      <c r="B22" s="18">
        <f>B20+B21</f>
        <v>20315276789.449497</v>
      </c>
    </row>
    <row r="23" spans="1:2" x14ac:dyDescent="0.25">
      <c r="A23" s="19" t="s">
        <v>65</v>
      </c>
      <c r="B23" s="25">
        <f>B22/Assumptions!B31</f>
        <v>147.45042198225755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187.42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83.21678685074153</v>
      </c>
    </row>
    <row r="29" spans="1:2" x14ac:dyDescent="0.25">
      <c r="A29" s="19" t="s">
        <v>73</v>
      </c>
      <c r="B29" s="12">
        <f>B28/B26-1</f>
        <v>-0.5559876915444375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0.081724</v>
      </c>
      <c r="B5" s="31">
        <v>108.41758277854451</v>
      </c>
      <c r="C5" s="31">
        <v>110.92351407184405</v>
      </c>
      <c r="D5" s="31">
        <v>113.81906008545343</v>
      </c>
      <c r="E5" s="31">
        <v>117.21720938956537</v>
      </c>
      <c r="F5" s="31">
        <v>121.27931480837158</v>
      </c>
    </row>
    <row r="6" spans="1:6" x14ac:dyDescent="0.25">
      <c r="A6" s="30">
        <v>0.091724</v>
      </c>
      <c r="B6" s="31">
        <v>93.44745927831515</v>
      </c>
      <c r="C6" s="31">
        <v>94.76975869395915</v>
      </c>
      <c r="D6" s="31">
        <v>96.24768736174983</v>
      </c>
      <c r="E6" s="31">
        <v>97.91906588278569</v>
      </c>
      <c r="F6" s="31">
        <v>99.83504981377419</v>
      </c>
    </row>
    <row r="7" spans="1:6" x14ac:dyDescent="0.25">
      <c r="A7" s="30">
        <v>0.101724</v>
      </c>
      <c r="B7" s="31">
        <v>81.90996536720043</v>
      </c>
      <c r="C7" s="31">
        <v>82.53983405833023</v>
      </c>
      <c r="D7" s="32">
        <v>83.21628558645833</v>
      </c>
      <c r="E7" s="31">
        <v>83.94906205401875</v>
      </c>
      <c r="F7" s="31">
        <v>84.75082568287291</v>
      </c>
    </row>
    <row r="8" spans="1:6" x14ac:dyDescent="0.25">
      <c r="A8" s="30">
        <v>0.111724</v>
      </c>
      <c r="B8" s="31">
        <v>72.85646848402524</v>
      </c>
      <c r="C8" s="31">
        <v>73.11442191450065</v>
      </c>
      <c r="D8" s="31">
        <v>73.37237534497605</v>
      </c>
      <c r="E8" s="31">
        <v>73.63032877545147</v>
      </c>
      <c r="F8" s="31">
        <v>73.88828220592686</v>
      </c>
    </row>
    <row r="9" spans="1:6" x14ac:dyDescent="0.25">
      <c r="A9" s="30">
        <v>0.121724</v>
      </c>
      <c r="B9" s="31">
        <v>65.95747335722076</v>
      </c>
      <c r="C9" s="31">
        <v>66.18488407595574</v>
      </c>
      <c r="D9" s="31">
        <v>66.41229479469072</v>
      </c>
      <c r="E9" s="31">
        <v>66.63970551342571</v>
      </c>
      <c r="F9" s="31">
        <v>66.8671162321607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8092571000</v>
      </c>
      <c r="C5" s="18">
        <v>7745909000</v>
      </c>
      <c r="D5" s="18">
        <v>7684476000</v>
      </c>
      <c r="E5" s="18">
        <v>7844174000</v>
      </c>
      <c r="F5" s="8" t="s">
        <v>84</v>
      </c>
    </row>
    <row r="6" spans="1:6" x14ac:dyDescent="0.25">
      <c r="A6" t="s">
        <v>44</v>
      </c>
      <c r="B6" s="18">
        <v>1373361000</v>
      </c>
      <c r="C6" s="18">
        <v>1206355000</v>
      </c>
      <c r="D6" s="18">
        <v>1219340000</v>
      </c>
      <c r="E6" s="18">
        <v>1279641000</v>
      </c>
      <c r="F6" s="8" t="s">
        <v>85</v>
      </c>
    </row>
    <row r="7" spans="1:6" x14ac:dyDescent="0.25">
      <c r="A7" t="s">
        <v>86</v>
      </c>
      <c r="B7" s="18">
        <v>379577000</v>
      </c>
      <c r="C7" s="18">
        <v>337842000</v>
      </c>
      <c r="D7" s="18">
        <v>305046000</v>
      </c>
      <c r="E7" s="18">
        <v>295660000</v>
      </c>
      <c r="F7" s="8" t="s">
        <v>87</v>
      </c>
    </row>
    <row r="8" spans="1:6" x14ac:dyDescent="0.25">
      <c r="A8" t="s">
        <v>88</v>
      </c>
      <c r="B8" s="18">
        <v>220263000</v>
      </c>
      <c r="C8" s="18">
        <v>167533000</v>
      </c>
      <c r="D8" s="18">
        <v>183406000</v>
      </c>
      <c r="E8" s="18">
        <v>211082000</v>
      </c>
      <c r="F8" s="8" t="s">
        <v>89</v>
      </c>
    </row>
    <row r="9" spans="1:6" x14ac:dyDescent="0.25">
      <c r="A9" t="s">
        <v>90</v>
      </c>
      <c r="B9" s="18">
        <v>119082000</v>
      </c>
      <c r="C9" s="18">
        <v>12737000</v>
      </c>
      <c r="D9" s="18">
        <v>-45129000</v>
      </c>
      <c r="E9" s="18">
        <v>518252000</v>
      </c>
      <c r="F9" s="8" t="s">
        <v>91</v>
      </c>
    </row>
    <row r="10" spans="1:6" x14ac:dyDescent="0.25">
      <c r="A10" t="s">
        <v>92</v>
      </c>
      <c r="B10" s="18">
        <v>3574803000</v>
      </c>
      <c r="C10" s="18">
        <v>3153953000</v>
      </c>
      <c r="D10" s="18">
        <v>3678836000</v>
      </c>
      <c r="E10" s="18">
        <v>3886675000</v>
      </c>
      <c r="F10" s="8" t="s">
        <v>93</v>
      </c>
    </row>
    <row r="11" spans="1:6" x14ac:dyDescent="0.25">
      <c r="A11" t="s">
        <v>94</v>
      </c>
      <c r="B11" s="18">
        <v>1676808000</v>
      </c>
      <c r="C11" s="18">
        <v>1844877000</v>
      </c>
      <c r="D11" s="18">
        <v>398561000</v>
      </c>
      <c r="E11" s="18">
        <v>380868000</v>
      </c>
      <c r="F11" s="8" t="s">
        <v>95</v>
      </c>
    </row>
    <row r="12" spans="1:6" x14ac:dyDescent="0.25">
      <c r="A12" t="s">
        <v>32</v>
      </c>
      <c r="B12" s="34">
        <v>137777000</v>
      </c>
      <c r="C12" s="34">
        <v>138696000</v>
      </c>
      <c r="D12" s="34">
        <v>140599000</v>
      </c>
      <c r="E12" s="34">
        <v>143595000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