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<sst xmlns="http://schemas.openxmlformats.org/spreadsheetml/2006/main" count="119" uniqueCount="106">
  <si>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Dow Inc. (DOW)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</si>
  <si>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</si>
  <si>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</si>
  <si>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</si>
  <si>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</si>
  <si>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</si>
  <si>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</si>
  <si>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</si>
  <si>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</si>
  <si>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</si>
  <si>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</si>
  <si>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</si>
  <si>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</si>
  <si>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</si>
  <si>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</si>
  <si>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</si>
  <si>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</si>
  <si>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</si>
  <si>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</si>
  <si>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</si>
  <si>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</si>
  <si>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</si>
  <si>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</si>
  <si>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</si>
  <si>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0.2x interest cover, capped at 200bp because one year's cover is too noisy to charge more.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</si>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</sst>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0.09803377376901512</v>
      </c>
    </row>
    <row r="7" spans="1:2" x14ac:dyDescent="0.25">
      <c r="A7" t="s">
        <v>4</v>
      </c>
      <c r="B7" s="5">
        <v>0.04889049273778487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0.061312120004362286</v>
      </c>
    </row>
    <row r="10" spans="1:3" x14ac:dyDescent="0.25">
      <c r="A10" t="s">
        <v>7</v>
      </c>
      <c r="B10" s="5">
        <v>0.056260398841351825</v>
      </c>
      <c r="C10" s="6" t="s">
        <v>8</v>
      </c>
    </row>
    <row r="11" spans="1:2" x14ac:dyDescent="0.25">
      <c r="A11" t="s">
        <v>9</v>
      </c>
      <c r="B11" s="5">
        <v>0.14529855407379388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13.670021262032085</v>
      </c>
    </row>
    <row r="14" spans="1:3" x14ac:dyDescent="0.25">
      <c r="A14" t="s">
        <v>12</v>
      </c>
      <c r="B14" s="5">
        <v>0.06571285023738714</v>
      </c>
      <c r="C14" s="6" t="s">
        <v>13</v>
      </c>
    </row>
    <row r="15" spans="1:3" x14ac:dyDescent="0.25">
      <c r="A15" t="s">
        <v>14</v>
      </c>
      <c r="B15" s="5">
        <v>0.061312120004362286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0.60403</v>
      </c>
      <c r="C19" s="6" t="s">
        <v>21</v>
      </c>
    </row>
    <row r="20" spans="1:2" x14ac:dyDescent="0.25">
      <c r="A20" t="s">
        <v>22</v>
      </c>
      <c r="B20" s="9">
        <f>B17+B19*B18</f>
        <v>0.074490469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25118703616</v>
      </c>
    </row>
    <row r="23" spans="1:2" x14ac:dyDescent="0.25">
      <c r="A23" t="s">
        <v>26</v>
      </c>
      <c r="B23" s="10">
        <v>19598000000</v>
      </c>
    </row>
    <row r="24" spans="1:2" x14ac:dyDescent="0.25">
      <c r="A24" t="s">
        <v>27</v>
      </c>
      <c r="B24" s="9">
        <f>B22/(B22+B23)</f>
        <v>0.5617297695220165</v>
      </c>
    </row>
    <row r="25" spans="1:2" x14ac:dyDescent="0.25">
      <c r="A25" t="s">
        <v>28</v>
      </c>
      <c r="B25" s="9">
        <f>1-B24</f>
        <v>0.4382702304779835</v>
      </c>
    </row>
    <row r="26" spans="1:2" x14ac:dyDescent="0.25">
      <c r="A26" t="s">
        <v>29</v>
      </c>
      <c r="B26" s="11">
        <f>B24*B20+B25*B21*(1-B8)</f>
        <v>0.06571285023738714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39968000000</v>
      </c>
      <c r="C29" s="6" t="s">
        <v>32</v>
      </c>
    </row>
    <row r="30" spans="1:2" x14ac:dyDescent="0.25">
      <c r="A30" t="s">
        <v>33</v>
      </c>
      <c r="B30" s="10">
        <v>15782000000</v>
      </c>
    </row>
    <row r="31" spans="1:2" x14ac:dyDescent="0.25">
      <c r="A31" t="s">
        <v>34</v>
      </c>
      <c r="B31" s="12">
        <v>711600000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0.09803377376901512</v>
      </c>
      <c r="C5" s="5">
        <v>-0.019568452009642412</v>
      </c>
      <c r="D5" s="5">
        <v>-0.013997395508437111</v>
      </c>
      <c r="E5" s="5">
        <v>-0.008426339007231809</v>
      </c>
      <c r="F5" s="5">
        <v>-0.002855282506026506</v>
      </c>
      <c r="G5" s="5">
        <v>0.0027157739951787947</v>
      </c>
      <c r="H5" s="5">
        <v>0.008286830496384096</v>
      </c>
      <c r="I5" s="5">
        <v>0.0138578869975894</v>
      </c>
      <c r="J5" s="5">
        <v>0.019428943498794697</v>
      </c>
      <c r="K5" s="5">
        <v>0.025</v>
      </c>
    </row>
    <row r="6" spans="1:11" x14ac:dyDescent="0.25">
      <c r="A6" t="s">
        <v>50</v>
      </c>
      <c r="B6" s="18">
        <f>Assumptions!B29*(1+B5)</f>
        <v>43886213870</v>
      </c>
      <c r="C6" s="18">
        <f>B6*(1+C5)</f>
        <v>43027428600</v>
      </c>
      <c r="D6" s="18">
        <f>C6*(1+D5)</f>
        <v>42425156664.17476</v>
      </c>
      <c r="E6" s="18">
        <f>D6*(1+E5)</f>
        <v>42067667911.68751</v>
      </c>
      <c r="F6" s="18">
        <f>E6*(1+F5)</f>
        <v>41947552835.42993</v>
      </c>
      <c r="G6" s="18">
        <f>F6*(1+G5)</f>
        <v>42061472908.58179</v>
      </c>
      <c r="H6" s="18">
        <f>G6*(1+H5)</f>
        <v>42410029205.003456</v>
      </c>
      <c r="I6" s="18">
        <f>H6*(1+I5)</f>
        <v>42997742597.29086</v>
      </c>
      <c r="J6" s="18">
        <f>I6*(1+J5)</f>
        <v>43833143308.789345</v>
      </c>
      <c r="K6" s="18">
        <f>J6*(1+K5)</f>
        <v>44928971891.50907</v>
      </c>
    </row>
    <row r="7" spans="1:11" x14ac:dyDescent="0.25">
      <c r="A7" t="s">
        <v>4</v>
      </c>
      <c r="B7" s="9">
        <f>Assumptions!B7</f>
        <v>0.04889049273778487</v>
      </c>
      <c r="C7" s="9">
        <f>Assumptions!B7</f>
        <v>0.04889049273778487</v>
      </c>
      <c r="D7" s="9">
        <f>Assumptions!B7</f>
        <v>0.04889049273778487</v>
      </c>
      <c r="E7" s="9">
        <f>Assumptions!B7</f>
        <v>0.04889049273778487</v>
      </c>
      <c r="F7" s="9">
        <f>Assumptions!B7</f>
        <v>0.04889049273778487</v>
      </c>
      <c r="G7" s="9">
        <f>Assumptions!B7</f>
        <v>0.04889049273778487</v>
      </c>
      <c r="H7" s="9">
        <f>Assumptions!B7</f>
        <v>0.04889049273778487</v>
      </c>
      <c r="I7" s="9">
        <f>Assumptions!B7</f>
        <v>0.04889049273778487</v>
      </c>
      <c r="J7" s="9">
        <f>Assumptions!B7</f>
        <v>0.04889049273778487</v>
      </c>
      <c r="K7" s="9">
        <f>Assumptions!B7</f>
        <v>0.04889049273778487</v>
      </c>
    </row>
    <row r="8" spans="1:11" x14ac:dyDescent="0.25">
      <c r="A8" t="s">
        <v>51</v>
      </c>
      <c r="B8" s="18">
        <f>B6*B7</f>
        <v>2145618620.5001085</v>
      </c>
      <c r="C8" s="18">
        <f>C6*C7</f>
        <v>2103632185.493857</v>
      </c>
      <c r="D8" s="18">
        <f>D6*D7</f>
        <v>2074186813.7892213</v>
      </c>
      <c r="E8" s="18">
        <f>E6*E7</f>
        <v>2056709012.5319037</v>
      </c>
      <c r="F8" s="18">
        <f>F6*F7</f>
        <v>2050836527.268434</v>
      </c>
      <c r="G8" s="18">
        <f>G6*G7</f>
        <v>2056406135.7775528</v>
      </c>
      <c r="H8" s="18">
        <f>H6*H7</f>
        <v>2073447224.8564656</v>
      </c>
      <c r="I8" s="18">
        <f>I6*I7</f>
        <v>2102180822.1939921</v>
      </c>
      <c r="J8" s="18">
        <f>J6*J7</f>
        <v>2143023974.612649</v>
      </c>
      <c r="K8" s="18">
        <f>K6*K7</f>
        <v>2196599573.977965</v>
      </c>
    </row>
    <row r="9" spans="1:11" x14ac:dyDescent="0.25">
      <c r="A9" t="s">
        <v>52</v>
      </c>
      <c r="B9" s="18">
        <f>B8*(1-Assumptions!B8)</f>
        <v>1695038710.1950858</v>
      </c>
      <c r="C9" s="18">
        <f>C8*(1-Assumptions!B8)</f>
        <v>1661869426.540147</v>
      </c>
      <c r="D9" s="18">
        <f>D8*(1-Assumptions!B8)</f>
        <v>1638607582.8934848</v>
      </c>
      <c r="E9" s="18">
        <f>E8*(1-Assumptions!B8)</f>
        <v>1624800119.900204</v>
      </c>
      <c r="F9" s="18">
        <f>F8*(1-Assumptions!B8)</f>
        <v>1620160856.542063</v>
      </c>
      <c r="G9" s="18">
        <f>G8*(1-Assumptions!B8)</f>
        <v>1624560847.2642667</v>
      </c>
      <c r="H9" s="18">
        <f>H8*(1-Assumptions!B8)</f>
        <v>1638023307.636608</v>
      </c>
      <c r="I9" s="18">
        <f>I8*(1-Assumptions!B8)</f>
        <v>1660722849.533254</v>
      </c>
      <c r="J9" s="18">
        <f>J8*(1-Assumptions!B8)</f>
        <v>1692988939.9439929</v>
      </c>
      <c r="K9" s="18">
        <f>K8*(1-Assumptions!B8)</f>
        <v>1735313663.4425924</v>
      </c>
    </row>
    <row r="10" spans="1:11" x14ac:dyDescent="0.25">
      <c r="A10" t="s">
        <v>53</v>
      </c>
      <c r="B10" s="18">
        <f>B6*Assumptions!B9</f>
        <v>2690756811.3345485</v>
      </c>
      <c r="C10" s="18">
        <f>C6*Assumptions!B9</f>
        <v>2638102865.80233</v>
      </c>
      <c r="D10" s="18">
        <f>D6*Assumptions!B9</f>
        <v>2601176296.597753</v>
      </c>
      <c r="E10" s="18">
        <f>E6*Assumptions!B9</f>
        <v>2579257903.305045</v>
      </c>
      <c r="F10" s="18">
        <f>F6*Assumptions!B9</f>
        <v>2571893393.3352075</v>
      </c>
      <c r="G10" s="18">
        <f>G6*Assumptions!B9</f>
        <v>2578878074.5312</v>
      </c>
      <c r="H10" s="18">
        <f>H6*Assumptions!B9</f>
        <v>2600248800.005681</v>
      </c>
      <c r="I10" s="18">
        <f>I6*Assumptions!B9</f>
        <v>2636282754.0417776</v>
      </c>
      <c r="J10" s="18">
        <f>J6*Assumptions!B9</f>
        <v>2687502942.7169023</v>
      </c>
      <c r="K10" s="18">
        <f>K6*Assumptions!B9</f>
        <v>2754690516.2848244</v>
      </c>
    </row>
    <row r="11" spans="1:11" x14ac:dyDescent="0.25">
      <c r="A11" t="s">
        <v>54</v>
      </c>
      <c r="B11" s="18">
        <f>-B6*B19</f>
        <v>-2469055895.9630666</v>
      </c>
      <c r="C11" s="18">
        <f>-C6*C19</f>
        <v>-2515141329.3306074</v>
      </c>
      <c r="D11" s="18">
        <f>-D6*D19</f>
        <v>-2573015567.935394</v>
      </c>
      <c r="E11" s="18">
        <f>-E6*E19</f>
        <v>-2643629812.2150893</v>
      </c>
      <c r="F11" s="18">
        <f>-F6*F19</f>
        <v>-2728113318.6998262</v>
      </c>
      <c r="G11" s="18">
        <f>-G6*G19</f>
        <v>-2827804011.9604344</v>
      </c>
      <c r="H11" s="18">
        <f>-H6*H19</f>
        <v>-2944284021.7920794</v>
      </c>
      <c r="I11" s="18">
        <f>-I6*I19</f>
        <v>-3079421481.930468</v>
      </c>
      <c r="J11" s="18">
        <f>-J6*J19</f>
        <v>-3235420139.7531915</v>
      </c>
      <c r="K11" s="18">
        <f>-K6*K19</f>
        <v>-3414878613.884375</v>
      </c>
    </row>
    <row r="12" spans="1:11" x14ac:dyDescent="0.25">
      <c r="A12" t="s">
        <v>55</v>
      </c>
      <c r="B12" s="18">
        <f>-(B6-Assumptions!B29)*Assumptions!B11</f>
        <v>-569310809.8628842</v>
      </c>
      <c r="C12" s="18">
        <f>-(C6-B6)*Assumptions!B11</f>
        <v>124780257.99087268</v>
      </c>
      <c r="D12" s="18">
        <f>-(D6-C6)*Assumptions!B11</f>
        <v>87509241.43463232</v>
      </c>
      <c r="E12" s="18">
        <f>-(E6-D6)*Assumptions!B11</f>
        <v>51942598.834042</v>
      </c>
      <c r="F12" s="18">
        <f>-(F6-E6)*Assumptions!B11</f>
        <v>17452546.90268928</v>
      </c>
      <c r="G12" s="18">
        <f>-(G6-F6)*Assumptions!B11</f>
        <v>-16552421.908945426</v>
      </c>
      <c r="H12" s="18">
        <f>-(H6-G6)*Assumptions!B11</f>
        <v>-50644725.883385204</v>
      </c>
      <c r="I12" s="18">
        <f>-(I6-H6)*Assumptions!B11</f>
        <v>-85393906.10916463</v>
      </c>
      <c r="J12" s="18">
        <f>-(J6-I6)*Assumptions!B11</f>
        <v>-121382515.45294803</v>
      </c>
      <c r="K12" s="18">
        <f>-(K6-J6)*Assumptions!B11</f>
        <v>-159222308.58191112</v>
      </c>
    </row>
    <row r="13" spans="1:11" x14ac:dyDescent="0.25">
      <c r="A13" s="19" t="s">
        <v>56</v>
      </c>
      <c r="B13" s="20">
        <f>B9+B10+B11+B12</f>
        <v>1347428815.7036839</v>
      </c>
      <c r="C13" s="20">
        <f>C9+C10+C11+C12</f>
        <v>1909611221.002742</v>
      </c>
      <c r="D13" s="20">
        <f>D9+D10+D11+D12</f>
        <v>1754277552.9904761</v>
      </c>
      <c r="E13" s="20">
        <f>E9+E10+E11+E12</f>
        <v>1612370809.8242016</v>
      </c>
      <c r="F13" s="20">
        <f>F9+F10+F11+F12</f>
        <v>1481393478.0801337</v>
      </c>
      <c r="G13" s="20">
        <f>G9+G10+G11+G12</f>
        <v>1359082487.9260867</v>
      </c>
      <c r="H13" s="20">
        <f>H9+H10+H11+H12</f>
        <v>1243343359.9668245</v>
      </c>
      <c r="I13" s="20">
        <f>I9+I10+I11+I12</f>
        <v>1132190215.5353985</v>
      </c>
      <c r="J13" s="20">
        <f>J9+J10+J11+J12</f>
        <v>1023689227.4547558</v>
      </c>
      <c r="K13" s="20">
        <f>K9+K10+K11+K12</f>
        <v>915903257.2611308</v>
      </c>
    </row>
    <row r="14" spans="1:11" x14ac:dyDescent="0.25">
      <c r="A14" t="s">
        <v>57</v>
      </c>
      <c r="B14" s="21">
        <f>1/(1+Assumptions!$B$26)^(1-0.5*Assumptions!$B$32)</f>
        <v>0.9686790312151212</v>
      </c>
      <c r="C14" s="21">
        <f>1/(1+Assumptions!$B$26)^(2-0.5*Assumptions!$B$32)</f>
        <v>0.9089493769352114</v>
      </c>
      <c r="D14" s="21">
        <f>1/(1+Assumptions!$B$26)^(3-0.5*Assumptions!$B$32)</f>
        <v>0.852902708954615</v>
      </c>
      <c r="E14" s="21">
        <f>1/(1+Assumptions!$B$26)^(4-0.5*Assumptions!$B$32)</f>
        <v>0.800311930896424</v>
      </c>
      <c r="F14" s="21">
        <f>1/(1+Assumptions!$B$26)^(5-0.5*Assumptions!$B$32)</f>
        <v>0.750963949358549</v>
      </c>
      <c r="G14" s="21">
        <f>1/(1+Assumptions!$B$26)^(6-0.5*Assumptions!$B$32)</f>
        <v>0.704658810477205</v>
      </c>
      <c r="H14" s="21">
        <f>1/(1+Assumptions!$B$26)^(7-0.5*Assumptions!$B$32)</f>
        <v>0.6612088897307025</v>
      </c>
      <c r="I14" s="21">
        <f>1/(1+Assumptions!$B$26)^(8-0.5*Assumptions!$B$32)</f>
        <v>0.6204381317006906</v>
      </c>
      <c r="J14" s="21">
        <f>1/(1+Assumptions!$B$26)^(9-0.5*Assumptions!$B$32)</f>
        <v>0.5821813367104359</v>
      </c>
      <c r="K14" s="21">
        <f>1/(1+Assumptions!$B$26)^(10-0.5*Assumptions!$B$32)</f>
        <v>0.5462834914496482</v>
      </c>
    </row>
    <row r="15" spans="1:11" x14ac:dyDescent="0.25">
      <c r="A15" s="19" t="s">
        <v>58</v>
      </c>
      <c r="B15" s="20">
        <f>B13*B14</f>
        <v>1305226039.8271825</v>
      </c>
      <c r="C15" s="20">
        <f>C13*C14</f>
        <v>1735739929.5189307</v>
      </c>
      <c r="D15" s="20">
        <f>D13*D14</f>
        <v>1496228077.2038503</v>
      </c>
      <c r="E15" s="20">
        <f>E13*E14</f>
        <v>1290399596.1314378</v>
      </c>
      <c r="F15" s="20">
        <f>F13*F14</f>
        <v>1112473096.8530543</v>
      </c>
      <c r="G15" s="20">
        <f>G13*G14</f>
        <v>957689449.2823966</v>
      </c>
      <c r="H15" s="20">
        <f>H13*H14</f>
        <v>822109682.5977051</v>
      </c>
      <c r="I15" s="20">
        <f>I13*I14</f>
        <v>702453982.0565848</v>
      </c>
      <c r="J15" s="20">
        <f>J13*J14</f>
        <v>595972762.8156832</v>
      </c>
      <c r="K15" s="20">
        <f>K13*K14</f>
        <v>500342829.2067159</v>
      </c>
    </row>
    <row r="17" spans="1:2" x14ac:dyDescent="0.25">
      <c r="A17" s="22" t="s">
        <v>59</v>
      </c>
      <c r="B17" s="23">
        <f>SUM(B15:K15)</f>
        <v>10518635445.493542</v>
      </c>
    </row>
    <row r="19" spans="1:11" x14ac:dyDescent="0.25">
      <c r="A19" t="s">
        <v>7</v>
      </c>
      <c r="B19" s="9">
        <f>Assumptions!$B$10+($B$20-Assumptions!$B$10)*0/9</f>
        <v>0.056260398841351825</v>
      </c>
      <c r="C19" s="9">
        <f>Assumptions!$B$10+($B$20-Assumptions!$B$10)*1/9</f>
        <v>0.05845437227291355</v>
      </c>
      <c r="D19" s="9">
        <f>Assumptions!$B$10+($B$20-Assumptions!$B$10)*2/9</f>
        <v>0.06064834570447527</v>
      </c>
      <c r="E19" s="9">
        <f>Assumptions!$B$10+($B$20-Assumptions!$B$10)*3/9</f>
        <v>0.062842319136037</v>
      </c>
      <c r="F19" s="9">
        <f>Assumptions!$B$10+($B$20-Assumptions!$B$10)*4/9</f>
        <v>0.06503629256759871</v>
      </c>
      <c r="G19" s="9">
        <f>Assumptions!$B$10+($B$20-Assumptions!$B$10)*5/9</f>
        <v>0.06723026599916045</v>
      </c>
      <c r="H19" s="9">
        <f>Assumptions!$B$10+($B$20-Assumptions!$B$10)*6/9</f>
        <v>0.06942423943072216</v>
      </c>
      <c r="I19" s="9">
        <f>Assumptions!$B$10+($B$20-Assumptions!$B$10)*7/9</f>
        <v>0.07161821286228388</v>
      </c>
      <c r="J19" s="9">
        <f>Assumptions!$B$10+($B$20-Assumptions!$B$10)*8/9</f>
        <v>0.07381218629384562</v>
      </c>
      <c r="K19" s="9">
        <f>Assumptions!$B$10+($B$20-Assumptions!$B$10)*9/9</f>
        <v>0.07600615972540734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0.07600615972540734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915903257.2611308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1735313663.4425924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0.3804430930889119</v>
      </c>
    </row>
    <row r="7" spans="1:2" x14ac:dyDescent="0.25">
      <c r="A7" t="s">
        <v>66</v>
      </c>
      <c r="B7" s="18">
        <f>-MAX(B5,0)*B6</f>
        <v>-660188097.5995508</v>
      </c>
    </row>
    <row r="8" spans="1:2" x14ac:dyDescent="0.25">
      <c r="A8" t="s">
        <v>67</v>
      </c>
      <c r="B8" s="18">
        <f>IF(OR(Assumptions!$B$33=0,Assumptions!B12&lt;=0),B5,MAX(B5+B7,0))</f>
        <v>1075125565.8430414</v>
      </c>
    </row>
    <row r="9" spans="1:2" x14ac:dyDescent="0.25">
      <c r="A9" t="s">
        <v>68</v>
      </c>
      <c r="B9" s="18">
        <f>B8*(1+Assumptions!B12)/(Assumptions!B26-Assumptions!B12)</f>
        <v>27067712001.58158</v>
      </c>
    </row>
    <row r="10" spans="1:2" x14ac:dyDescent="0.25">
      <c r="A10" t="s">
        <v>69</v>
      </c>
      <c r="B10" s="18">
        <f>B9/(1+Assumptions!B26)^(10-0.5*Assumptions!B32)</f>
        <v>14786644217.77753</v>
      </c>
    </row>
    <row r="11" spans="1:2" x14ac:dyDescent="0.25">
      <c r="A11" t="s">
        <v>70</v>
      </c>
      <c r="B11" s="18">
        <f>Forecast!B17+B10</f>
        <v>25305279663.271072</v>
      </c>
    </row>
    <row r="12" spans="1:2" x14ac:dyDescent="0.25">
      <c r="A12" t="s">
        <v>71</v>
      </c>
      <c r="B12" s="18">
        <f>-Assumptions!B30</f>
        <v>-15782000000</v>
      </c>
    </row>
    <row r="13" spans="1:2" x14ac:dyDescent="0.25">
      <c r="A13" t="s">
        <v>72</v>
      </c>
      <c r="B13" s="18">
        <f>B11+B12</f>
        <v>9523279663.271072</v>
      </c>
    </row>
    <row r="14" spans="1:2" x14ac:dyDescent="0.25">
      <c r="A14" s="19" t="s">
        <v>73</v>
      </c>
      <c r="B14" s="24">
        <f>B13/Assumptions!B31</f>
        <v>13.3829112749734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4951290090.262789</v>
      </c>
    </row>
    <row r="18" spans="1:2" x14ac:dyDescent="0.25">
      <c r="A18" t="s">
        <v>68</v>
      </c>
      <c r="B18" s="18">
        <f>B17*Assumptions!B13</f>
        <v>67684240808.38108</v>
      </c>
    </row>
    <row r="19" spans="1:2" x14ac:dyDescent="0.25">
      <c r="A19" t="s">
        <v>69</v>
      </c>
      <c r="B19" s="18">
        <f>B18/(1+Assumptions!B26)^(10-0.5*Assumptions!B32)</f>
        <v>36974783384.92117</v>
      </c>
    </row>
    <row r="20" spans="1:2" x14ac:dyDescent="0.25">
      <c r="A20" t="s">
        <v>70</v>
      </c>
      <c r="B20" s="18">
        <f>Forecast!B17+B19</f>
        <v>47493418830.41472</v>
      </c>
    </row>
    <row r="21" spans="1:2" x14ac:dyDescent="0.25">
      <c r="A21" t="s">
        <v>71</v>
      </c>
      <c r="B21" s="18">
        <f>-Assumptions!B30</f>
        <v>-15782000000</v>
      </c>
    </row>
    <row r="22" spans="1:2" x14ac:dyDescent="0.25">
      <c r="A22" t="s">
        <v>72</v>
      </c>
      <c r="B22" s="18">
        <f>B20+B21</f>
        <v>31711418830.41472</v>
      </c>
    </row>
    <row r="23" spans="1:2" x14ac:dyDescent="0.25">
      <c r="A23" s="19" t="s">
        <v>73</v>
      </c>
      <c r="B23" s="25">
        <f>B22/Assumptions!B31</f>
        <v>44.56354529288184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34.7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13.3829112749734</v>
      </c>
    </row>
    <row r="29" spans="1:2" x14ac:dyDescent="0.25">
      <c r="A29" s="19" t="s">
        <v>81</v>
      </c>
      <c r="B29" s="11">
        <f>B28/B26-1</f>
        <v>-0.6143253234877983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0.045713</v>
      </c>
      <c r="B5" s="31">
        <v>30.712818891681202</v>
      </c>
      <c r="C5" s="31">
        <v>30.534862470754042</v>
      </c>
      <c r="D5" s="31">
        <v>30.624377027453733</v>
      </c>
      <c r="E5" s="31">
        <v>31.236696658668432</v>
      </c>
      <c r="F5" s="31">
        <v>33.10383631051267</v>
      </c>
    </row>
    <row r="6" spans="1:6" x14ac:dyDescent="0.25">
      <c r="A6" s="30">
        <v>0.055713</v>
      </c>
      <c r="B6" s="31">
        <v>20.626191742899472</v>
      </c>
      <c r="C6" s="31">
        <v>20.02748204584975</v>
      </c>
      <c r="D6" s="31">
        <v>19.428772348800013</v>
      </c>
      <c r="E6" s="31">
        <v>18.830062651750275</v>
      </c>
      <c r="F6" s="31">
        <v>18.23135295470054</v>
      </c>
    </row>
    <row r="7" spans="1:6" x14ac:dyDescent="0.25">
      <c r="A7" s="30">
        <v>0.065713</v>
      </c>
      <c r="B7" s="31">
        <v>14.342632852583838</v>
      </c>
      <c r="C7" s="31">
        <v>13.862733657971726</v>
      </c>
      <c r="D7" s="32">
        <v>13.382834463359583</v>
      </c>
      <c r="E7" s="31">
        <v>12.90293526874747</v>
      </c>
      <c r="F7" s="31">
        <v>12.423036074135348</v>
      </c>
    </row>
    <row r="8" spans="1:6" x14ac:dyDescent="0.25">
      <c r="A8" s="30">
        <v>0.075713</v>
      </c>
      <c r="B8" s="31">
        <v>9.717028067486503</v>
      </c>
      <c r="C8" s="31">
        <v>9.322892372761201</v>
      </c>
      <c r="D8" s="31">
        <v>8.928756678035901</v>
      </c>
      <c r="E8" s="31">
        <v>8.534620983310612</v>
      </c>
      <c r="F8" s="31">
        <v>8.1404852885853</v>
      </c>
    </row>
    <row r="9" spans="1:6" x14ac:dyDescent="0.25">
      <c r="A9" s="30">
        <v>0.085713</v>
      </c>
      <c r="B9" s="31">
        <v>6.168836458321882</v>
      </c>
      <c r="C9" s="31">
        <v>5.839102596800281</v>
      </c>
      <c r="D9" s="31">
        <v>5.509368735278678</v>
      </c>
      <c r="E9" s="31">
        <v>5.179634873757076</v>
      </c>
      <c r="F9" s="31">
        <v>4.849901012235473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39968000000</v>
      </c>
      <c r="C5" s="18">
        <v>42964000000</v>
      </c>
      <c r="D5" s="18">
        <v>44622000000</v>
      </c>
      <c r="E5" s="18">
        <v>56902000000</v>
      </c>
      <c r="F5" s="6" t="s">
        <v>91</v>
      </c>
    </row>
    <row r="6" spans="1:6" x14ac:dyDescent="0.25">
      <c r="A6" t="s">
        <v>51</v>
      </c>
      <c r="B6" s="18">
        <v>158000000</v>
      </c>
      <c r="C6" s="18">
        <v>1905000000</v>
      </c>
      <c r="D6" s="18">
        <v>2100000000</v>
      </c>
      <c r="E6" s="18">
        <v>5702000000</v>
      </c>
      <c r="F6" s="6" t="s">
        <v>92</v>
      </c>
    </row>
    <row r="7" spans="1:6" x14ac:dyDescent="0.25">
      <c r="A7" t="s">
        <v>93</v>
      </c>
      <c r="B7" s="18">
        <v>2834000000</v>
      </c>
      <c r="C7" s="18">
        <v>2894000000</v>
      </c>
      <c r="D7" s="18">
        <v>2611000000</v>
      </c>
      <c r="E7" s="18">
        <v>2758000000</v>
      </c>
      <c r="F7" s="6" t="s">
        <v>94</v>
      </c>
    </row>
    <row r="8" spans="1:6" x14ac:dyDescent="0.25">
      <c r="A8" t="s">
        <v>95</v>
      </c>
      <c r="B8" s="18">
        <v>2479000000</v>
      </c>
      <c r="C8" s="18">
        <v>3065000000</v>
      </c>
      <c r="D8" s="18">
        <v>2477000000</v>
      </c>
      <c r="E8" s="18">
        <v>2058000000</v>
      </c>
      <c r="F8" s="6" t="s">
        <v>96</v>
      </c>
    </row>
    <row r="9" spans="1:6" x14ac:dyDescent="0.25">
      <c r="A9" t="s">
        <v>97</v>
      </c>
      <c r="B9" s="18">
        <v>1198000000</v>
      </c>
      <c r="C9" s="18">
        <v>1621000000</v>
      </c>
      <c r="D9" s="18">
        <v>-1068000000</v>
      </c>
      <c r="E9" s="18">
        <v>786000000</v>
      </c>
      <c r="F9" s="6" t="s">
        <v>98</v>
      </c>
    </row>
    <row r="10" spans="1:6" x14ac:dyDescent="0.25">
      <c r="A10" t="s">
        <v>99</v>
      </c>
      <c r="B10" s="18">
        <v>19598000000</v>
      </c>
      <c r="C10" s="18">
        <v>17645000000</v>
      </c>
      <c r="D10" s="18">
        <v>16447000000</v>
      </c>
      <c r="E10" s="18">
        <v>16706000000</v>
      </c>
      <c r="F10" s="6" t="s">
        <v>100</v>
      </c>
    </row>
    <row r="11" spans="1:6" x14ac:dyDescent="0.25">
      <c r="A11" t="s">
        <v>101</v>
      </c>
      <c r="B11" s="18">
        <v>3816000000</v>
      </c>
      <c r="C11" s="18">
        <v>2189000000</v>
      </c>
      <c r="D11" s="18">
        <v>2987000000</v>
      </c>
      <c r="E11" s="18">
        <v>3886000000</v>
      </c>
      <c r="F11" s="6" t="s">
        <v>102</v>
      </c>
    </row>
    <row r="12" spans="1:6" x14ac:dyDescent="0.25">
      <c r="A12" t="s">
        <v>34</v>
      </c>
      <c r="B12" s="34">
        <v>711600000</v>
      </c>
      <c r="C12" s="34">
        <v>705100000</v>
      </c>
      <c r="D12" s="34">
        <v>709000000</v>
      </c>
      <c r="E12" s="34">
        <v>725600000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