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<sst xmlns="http://schemas.openxmlformats.org/spreadsheetml/2006/main" count="112" uniqueCount="100">
  <si>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Dow Inc. (DOW)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</si>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</sst>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-0.11108214737616817</v>
      </c>
    </row>
    <row r="7" spans="1:2" x14ac:dyDescent="0.25">
      <c r="A7" t="s">
        <v>5</v>
      </c>
      <c r="B7" s="6">
        <v>0.04889049273778487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0.061312120004362286</v>
      </c>
    </row>
    <row r="10" spans="1:2" x14ac:dyDescent="0.25">
      <c r="A10" t="s">
        <v>8</v>
      </c>
      <c r="B10" s="6">
        <v>0.056260398841351825</v>
      </c>
    </row>
    <row r="11" spans="1:2" x14ac:dyDescent="0.25">
      <c r="A11" t="s">
        <v>9</v>
      </c>
      <c r="B11" s="6">
        <v>-0.3998664886515354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12.210845219251336</v>
      </c>
    </row>
    <row r="14" spans="1:3" x14ac:dyDescent="0.25">
      <c r="A14" t="s">
        <v>12</v>
      </c>
      <c r="B14" s="6">
        <v>0.062252810731428104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0.61408</v>
      </c>
      <c r="C19" s="8" t="s">
        <v>19</v>
      </c>
    </row>
    <row r="20" spans="1:2" x14ac:dyDescent="0.25">
      <c r="A20" t="s">
        <v>20</v>
      </c>
      <c r="B20" s="10">
        <f>B17+B19*B18</f>
        <v>0.0837544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20752848896</v>
      </c>
    </row>
    <row r="23" spans="1:2" x14ac:dyDescent="0.25">
      <c r="A23" t="s">
        <v>24</v>
      </c>
      <c r="B23" s="11">
        <v>19598000000</v>
      </c>
    </row>
    <row r="24" spans="1:2" x14ac:dyDescent="0.25">
      <c r="A24" t="s">
        <v>25</v>
      </c>
      <c r="B24" s="10">
        <f>B22/(B22+B23)</f>
        <v>0.5143100941813703</v>
      </c>
    </row>
    <row r="25" spans="1:2" x14ac:dyDescent="0.25">
      <c r="A25" t="s">
        <v>26</v>
      </c>
      <c r="B25" s="10">
        <f>1-B24</f>
        <v>0.4856899058186297</v>
      </c>
    </row>
    <row r="26" spans="1:2" x14ac:dyDescent="0.25">
      <c r="A26" t="s">
        <v>27</v>
      </c>
      <c r="B26" s="12">
        <f>B24*B20+B25*B21*(1-B8)</f>
        <v>0.062252810731428104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39968000000</v>
      </c>
      <c r="C29" s="8" t="s">
        <v>30</v>
      </c>
    </row>
    <row r="30" spans="1:2" x14ac:dyDescent="0.25">
      <c r="A30" t="s">
        <v>31</v>
      </c>
      <c r="B30" s="11">
        <v>15782000000</v>
      </c>
    </row>
    <row r="31" spans="1:2" x14ac:dyDescent="0.25">
      <c r="A31" t="s">
        <v>32</v>
      </c>
      <c r="B31" s="13">
        <v>711600000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-0.11108214737616817</v>
      </c>
      <c r="C5" s="10">
        <f>Assumptions!B6</f>
        <v>-0.11108214737616817</v>
      </c>
      <c r="D5" s="10">
        <f>Assumptions!B6</f>
        <v>-0.11108214737616817</v>
      </c>
      <c r="E5" s="10">
        <f>Assumptions!B6</f>
        <v>-0.11108214737616817</v>
      </c>
      <c r="F5" s="10">
        <f>Assumptions!B6</f>
        <v>-0.11108214737616817</v>
      </c>
    </row>
    <row r="6" spans="1:6" x14ac:dyDescent="0.25">
      <c r="A6" t="s">
        <v>43</v>
      </c>
      <c r="B6" s="18">
        <f>Assumptions!B29*(1+B5)</f>
        <v>35528268733.66931</v>
      </c>
      <c r="C6" s="18">
        <f>B6*(1+C5)</f>
        <v>31581712350.17575</v>
      </c>
      <c r="D6" s="18">
        <f>C6*(1+D5)</f>
        <v>28073547924.501778</v>
      </c>
      <c r="E6" s="18">
        <f>D6*(1+E5)</f>
        <v>24955077936.580353</v>
      </c>
      <c r="F6" s="18">
        <f>E6*(1+F5)</f>
        <v>22183014291.44537</v>
      </c>
    </row>
    <row r="7" spans="1:6" x14ac:dyDescent="0.25">
      <c r="A7" t="s">
        <v>5</v>
      </c>
      <c r="B7" s="10">
        <f>Assumptions!B7</f>
        <v>0.04889049273778487</v>
      </c>
      <c r="C7" s="10">
        <f>Assumptions!B7</f>
        <v>0.04889049273778487</v>
      </c>
      <c r="D7" s="10">
        <f>Assumptions!B7</f>
        <v>0.04889049273778487</v>
      </c>
      <c r="E7" s="10">
        <f>Assumptions!B7</f>
        <v>0.04889049273778487</v>
      </c>
      <c r="F7" s="10">
        <f>Assumptions!B7</f>
        <v>0.04889049273778487</v>
      </c>
    </row>
    <row r="8" spans="1:6" x14ac:dyDescent="0.25">
      <c r="A8" t="s">
        <v>44</v>
      </c>
      <c r="B8" s="18">
        <f>B6*B7</f>
        <v>1736994564.5095286</v>
      </c>
      <c r="C8" s="18">
        <f>C6*C7</f>
        <v>1544045478.3030782</v>
      </c>
      <c r="D8" s="18">
        <f>D6*D7</f>
        <v>1372529590.9267097</v>
      </c>
      <c r="E8" s="18">
        <f>E6*E7</f>
        <v>1220066056.6292372</v>
      </c>
      <c r="F8" s="18">
        <f>F6*F7</f>
        <v>1084538499.1180878</v>
      </c>
    </row>
    <row r="9" spans="1:6" x14ac:dyDescent="0.25">
      <c r="A9" t="s">
        <v>45</v>
      </c>
      <c r="B9" s="18">
        <f>B8*(1-Assumptions!B8)</f>
        <v>1372225705.9625278</v>
      </c>
      <c r="C9" s="18">
        <f>C8*(1-Assumptions!B8)</f>
        <v>1219795927.8594317</v>
      </c>
      <c r="D9" s="18">
        <f>D8*(1-Assumptions!B8)</f>
        <v>1084298376.8321006</v>
      </c>
      <c r="E9" s="18">
        <f>E8*(1-Assumptions!B8)</f>
        <v>963852184.7370974</v>
      </c>
      <c r="F9" s="18">
        <f>F8*(1-Assumptions!B8)</f>
        <v>856785414.3032894</v>
      </c>
    </row>
    <row r="10" spans="1:6" x14ac:dyDescent="0.25">
      <c r="A10" t="s">
        <v>46</v>
      </c>
      <c r="B10" s="18">
        <f>B6*Assumptions!B9</f>
        <v>2178313476.1459656</v>
      </c>
      <c r="C10" s="18">
        <f>C6*Assumptions!B9</f>
        <v>1936341737.5572262</v>
      </c>
      <c r="D10" s="18">
        <f>D6*Assumptions!B9</f>
        <v>1721248739.2952688</v>
      </c>
      <c r="E10" s="18">
        <f>E6*Assumptions!B9</f>
        <v>1530048733.1658282</v>
      </c>
      <c r="F10" s="18">
        <f>F6*Assumptions!B9</f>
        <v>1360087634.295582</v>
      </c>
    </row>
    <row r="11" spans="1:6" x14ac:dyDescent="0.25">
      <c r="A11" t="s">
        <v>47</v>
      </c>
      <c r="B11" s="18">
        <f>-B6*Assumptions!B10</f>
        <v>-1998834569.0989652</v>
      </c>
      <c r="C11" s="18">
        <f>-C6*Assumptions!B10</f>
        <v>-1776799732.9137344</v>
      </c>
      <c r="D11" s="18">
        <f>-D6*Assumptions!B10</f>
        <v>-1579429003.1242747</v>
      </c>
      <c r="E11" s="18">
        <f>-E6*Assumptions!B10</f>
        <v>-1403982637.8290298</v>
      </c>
      <c r="F11" s="18">
        <f>-F6*Assumptions!B10</f>
        <v>-1248025231.540124</v>
      </c>
    </row>
    <row r="12" spans="1:6" x14ac:dyDescent="0.25">
      <c r="A12" t="s">
        <v>48</v>
      </c>
      <c r="B12" s="18">
        <f>-(B6-Assumptions!B29)*Assumptions!B11</f>
        <v>-1775299752.0240872</v>
      </c>
      <c r="C12" s="18">
        <f>-(C6-B6)*Assumptions!B11</f>
        <v>-1578095643.3328726</v>
      </c>
      <c r="D12" s="18">
        <f>-(D6-C6)*Assumptions!B11</f>
        <v>-1402797390.506482</v>
      </c>
      <c r="E12" s="18">
        <f>-(E6-D6)*Assumptions!B11</f>
        <v>-1246971644.0353363</v>
      </c>
      <c r="F12" s="18">
        <f>-(F6-E6)*Assumptions!B11</f>
        <v>-1108455356.0987015</v>
      </c>
    </row>
    <row r="13" spans="1:6" x14ac:dyDescent="0.25">
      <c r="A13" s="19" t="s">
        <v>49</v>
      </c>
      <c r="B13" s="20">
        <f>B9+B10+B11+B12</f>
        <v>-223595139.01455903</v>
      </c>
      <c r="C13" s="20">
        <f>C9+C10+C11+C12</f>
        <v>-198757710.82994914</v>
      </c>
      <c r="D13" s="20">
        <f>D9+D10+D11+D12</f>
        <v>-176679277.5033872</v>
      </c>
      <c r="E13" s="20">
        <f>E9+E10+E11+E12</f>
        <v>-157053363.96144056</v>
      </c>
      <c r="F13" s="20">
        <f>F9+F10+F11+F12</f>
        <v>-139607539.0399542</v>
      </c>
    </row>
    <row r="14" spans="1:6" x14ac:dyDescent="0.25">
      <c r="A14" t="s">
        <v>50</v>
      </c>
      <c r="B14" s="21">
        <f>1/(1+Assumptions!$B$26)^(1-0.5*Assumptions!$B$32)</f>
        <v>0.970255371047236</v>
      </c>
      <c r="C14" s="21">
        <f>1/(1+Assumptions!$B$26)^(2-0.5*Assumptions!$B$32)</f>
        <v>0.913394025645509</v>
      </c>
      <c r="D14" s="21">
        <f>1/(1+Assumptions!$B$26)^(3-0.5*Assumptions!$B$32)</f>
        <v>0.8598650118106813</v>
      </c>
      <c r="E14" s="21">
        <f>1/(1+Assumptions!$B$26)^(4-0.5*Assumptions!$B$32)</f>
        <v>0.8094730398676092</v>
      </c>
      <c r="F14" s="21">
        <f>1/(1+Assumptions!$B$26)^(5-0.5*Assumptions!$B$32)</f>
        <v>0.762034264997836</v>
      </c>
    </row>
    <row r="15" spans="1:6" x14ac:dyDescent="0.25">
      <c r="A15" s="19" t="s">
        <v>51</v>
      </c>
      <c r="B15" s="20">
        <f>B13*B14</f>
        <v>-216944384.56892928</v>
      </c>
      <c r="C15" s="20">
        <f>C13*C14</f>
        <v>-181544105.62305322</v>
      </c>
      <c r="D15" s="20">
        <f>D13*D14</f>
        <v>-151920329.03715268</v>
      </c>
      <c r="E15" s="20">
        <f>E13*E14</f>
        <v>-127130463.94730131</v>
      </c>
      <c r="F15" s="20">
        <f>F13*F14</f>
        <v>-106385728.40046819</v>
      </c>
    </row>
    <row r="17" spans="1:2" x14ac:dyDescent="0.25">
      <c r="A17" s="22" t="s">
        <v>52</v>
      </c>
      <c r="B17" s="23">
        <f>SUM(B15:F15)</f>
        <v>-783925011.5769047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-139607539.0399542</v>
      </c>
    </row>
    <row r="5" spans="1:2" x14ac:dyDescent="0.25">
      <c r="A5" t="s">
        <v>56</v>
      </c>
      <c r="B5" s="18">
        <f>IF(Assumptions!$B$33=0,B4,B4-Forecast!F11-Forecast!F10-Forecast!F12)</f>
        <v>856785414.3032894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0.401588293062868</v>
      </c>
    </row>
    <row r="7" spans="1:2" x14ac:dyDescent="0.25">
      <c r="A7" t="s">
        <v>58</v>
      </c>
      <c r="B7" s="18">
        <f>-MAX(Forecast!F9,0)*B6</f>
        <v>-344074992.0512201</v>
      </c>
    </row>
    <row r="8" spans="1:2" x14ac:dyDescent="0.25">
      <c r="A8" t="s">
        <v>59</v>
      </c>
      <c r="B8" s="18">
        <f>IF(OR(Assumptions!$B$33=0,Assumptions!B12&lt;=0),B5,MAX(B5+B7,0))</f>
        <v>512710422.2520693</v>
      </c>
    </row>
    <row r="9" spans="1:2" x14ac:dyDescent="0.25">
      <c r="A9" t="s">
        <v>60</v>
      </c>
      <c r="B9" s="18">
        <f>B8*(1+Assumptions!B12)/(Assumptions!B26-Assumptions!B12)</f>
        <v>14107074674.100025</v>
      </c>
    </row>
    <row r="10" spans="1:2" x14ac:dyDescent="0.25">
      <c r="A10" t="s">
        <v>61</v>
      </c>
      <c r="B10" s="18">
        <f>B9/(1+Assumptions!B26)^(5-0.5*Assumptions!B32)</f>
        <v>10750074280.5474</v>
      </c>
    </row>
    <row r="11" spans="1:2" x14ac:dyDescent="0.25">
      <c r="A11" t="s">
        <v>62</v>
      </c>
      <c r="B11" s="18">
        <f>Forecast!B17+B10</f>
        <v>9966149268.970495</v>
      </c>
    </row>
    <row r="12" spans="1:2" x14ac:dyDescent="0.25">
      <c r="A12" t="s">
        <v>63</v>
      </c>
      <c r="B12" s="18">
        <f>-Assumptions!B30</f>
        <v>-15782000000</v>
      </c>
    </row>
    <row r="13" spans="1:2" x14ac:dyDescent="0.25">
      <c r="A13" t="s">
        <v>64</v>
      </c>
      <c r="B13" s="18">
        <f>B11+B12</f>
        <v>-5815850731.029505</v>
      </c>
    </row>
    <row r="14" spans="1:2" x14ac:dyDescent="0.25">
      <c r="A14" s="19" t="s">
        <v>65</v>
      </c>
      <c r="B14" s="24">
        <f>B13/Assumptions!B31</f>
        <v>-8.172921207180305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2444626133.4136696</v>
      </c>
    </row>
    <row r="18" spans="1:2" x14ac:dyDescent="0.25">
      <c r="A18" t="s">
        <v>60</v>
      </c>
      <c r="B18" s="18">
        <f>B17*Assumptions!B13</f>
        <v>29850951334.051186</v>
      </c>
    </row>
    <row r="19" spans="1:2" x14ac:dyDescent="0.25">
      <c r="A19" t="s">
        <v>61</v>
      </c>
      <c r="B19" s="18">
        <f>B18/(1+Assumptions!B26)^(5-0.5*Assumptions!B32)</f>
        <v>22747447759.32987</v>
      </c>
    </row>
    <row r="20" spans="1:2" x14ac:dyDescent="0.25">
      <c r="A20" t="s">
        <v>62</v>
      </c>
      <c r="B20" s="18">
        <f>Forecast!B17+B19</f>
        <v>21963522747.752964</v>
      </c>
    </row>
    <row r="21" spans="1:2" x14ac:dyDescent="0.25">
      <c r="A21" t="s">
        <v>63</v>
      </c>
      <c r="B21" s="18">
        <f>-Assumptions!B30</f>
        <v>-15782000000</v>
      </c>
    </row>
    <row r="22" spans="1:2" x14ac:dyDescent="0.25">
      <c r="A22" t="s">
        <v>64</v>
      </c>
      <c r="B22" s="18">
        <f>B20+B21</f>
        <v>6181522747.752964</v>
      </c>
    </row>
    <row r="23" spans="1:2" x14ac:dyDescent="0.25">
      <c r="A23" s="19" t="s">
        <v>65</v>
      </c>
      <c r="B23" s="25">
        <f>B22/Assumptions!B31</f>
        <v>8.686794193019905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28.73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-8.172921207180305</v>
      </c>
    </row>
    <row r="29" spans="1:2" x14ac:dyDescent="0.25">
      <c r="A29" s="19" t="s">
        <v>73</v>
      </c>
      <c r="B29" s="12">
        <f>B28/B26-1</f>
        <v>-1.2844734147991752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0.042253</v>
      </c>
      <c r="B5" s="31">
        <v>2.3233969263131837</v>
      </c>
      <c r="C5" s="31">
        <v>3.4934979091646485</v>
      </c>
      <c r="D5" s="31">
        <v>5.281763657877725</v>
      </c>
      <c r="E5" s="31">
        <v>8.444945293641029</v>
      </c>
      <c r="F5" s="31">
        <v>15.826519764717867</v>
      </c>
    </row>
    <row r="6" spans="1:6" x14ac:dyDescent="0.25">
      <c r="A6" s="30">
        <v>0.052253</v>
      </c>
      <c r="B6" s="31">
        <v>-4.705228515166237</v>
      </c>
      <c r="C6" s="31">
        <v>-4.613616144174851</v>
      </c>
      <c r="D6" s="31">
        <v>-4.522003773183469</v>
      </c>
      <c r="E6" s="31">
        <v>-4.430391402192089</v>
      </c>
      <c r="F6" s="31">
        <v>-4.338779031200704</v>
      </c>
    </row>
    <row r="7" spans="1:6" x14ac:dyDescent="0.25">
      <c r="A7" s="30">
        <v>0.062253</v>
      </c>
      <c r="B7" s="31">
        <v>-8.320362709878642</v>
      </c>
      <c r="C7" s="31">
        <v>-8.246670768820756</v>
      </c>
      <c r="D7" s="32">
        <v>-8.172978827762883</v>
      </c>
      <c r="E7" s="31">
        <v>-8.099286886704999</v>
      </c>
      <c r="F7" s="31">
        <v>-8.025594945647118</v>
      </c>
    </row>
    <row r="8" spans="1:6" x14ac:dyDescent="0.25">
      <c r="A8" s="30">
        <v>0.072253</v>
      </c>
      <c r="B8" s="31">
        <v>-10.901089194967048</v>
      </c>
      <c r="C8" s="31">
        <v>-10.840217901475949</v>
      </c>
      <c r="D8" s="31">
        <v>-10.779346607984852</v>
      </c>
      <c r="E8" s="31">
        <v>-10.718475314493752</v>
      </c>
      <c r="F8" s="31">
        <v>-10.657604021002657</v>
      </c>
    </row>
    <row r="9" spans="1:6" x14ac:dyDescent="0.25">
      <c r="A9" s="30">
        <v>0.082253</v>
      </c>
      <c r="B9" s="31">
        <v>-12.826421187132167</v>
      </c>
      <c r="C9" s="31">
        <v>-12.775138025706003</v>
      </c>
      <c r="D9" s="31">
        <v>-12.723854864279847</v>
      </c>
      <c r="E9" s="31">
        <v>-12.672571702853686</v>
      </c>
      <c r="F9" s="31">
        <v>-12.62128854142753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39968000000</v>
      </c>
      <c r="C5" s="18">
        <v>42964000000</v>
      </c>
      <c r="D5" s="18">
        <v>44622000000</v>
      </c>
      <c r="E5" s="18">
        <v>56902000000</v>
      </c>
      <c r="F5" s="8" t="s">
        <v>84</v>
      </c>
    </row>
    <row r="6" spans="1:6" x14ac:dyDescent="0.25">
      <c r="A6" t="s">
        <v>44</v>
      </c>
      <c r="B6" s="18">
        <v>158000000</v>
      </c>
      <c r="C6" s="18">
        <v>1905000000</v>
      </c>
      <c r="D6" s="18">
        <v>2100000000</v>
      </c>
      <c r="E6" s="18">
        <v>5702000000</v>
      </c>
      <c r="F6" s="8" t="s">
        <v>85</v>
      </c>
    </row>
    <row r="7" spans="1:6" x14ac:dyDescent="0.25">
      <c r="A7" t="s">
        <v>86</v>
      </c>
      <c r="B7" s="18">
        <v>2834000000</v>
      </c>
      <c r="C7" s="18">
        <v>2894000000</v>
      </c>
      <c r="D7" s="18">
        <v>2611000000</v>
      </c>
      <c r="E7" s="18">
        <v>2758000000</v>
      </c>
      <c r="F7" s="8" t="s">
        <v>87</v>
      </c>
    </row>
    <row r="8" spans="1:6" x14ac:dyDescent="0.25">
      <c r="A8" t="s">
        <v>88</v>
      </c>
      <c r="B8" s="18">
        <v>2479000000</v>
      </c>
      <c r="C8" s="18">
        <v>3065000000</v>
      </c>
      <c r="D8" s="18">
        <v>2477000000</v>
      </c>
      <c r="E8" s="18">
        <v>2058000000</v>
      </c>
      <c r="F8" s="8" t="s">
        <v>89</v>
      </c>
    </row>
    <row r="9" spans="1:6" x14ac:dyDescent="0.25">
      <c r="A9" t="s">
        <v>90</v>
      </c>
      <c r="B9" s="18">
        <v>1198000000</v>
      </c>
      <c r="C9" s="18">
        <v>1621000000</v>
      </c>
      <c r="D9" s="18">
        <v>-1068000000</v>
      </c>
      <c r="E9" s="18">
        <v>786000000</v>
      </c>
      <c r="F9" s="8" t="s">
        <v>91</v>
      </c>
    </row>
    <row r="10" spans="1:6" x14ac:dyDescent="0.25">
      <c r="A10" t="s">
        <v>92</v>
      </c>
      <c r="B10" s="18">
        <v>19598000000</v>
      </c>
      <c r="C10" s="18">
        <v>17645000000</v>
      </c>
      <c r="D10" s="18">
        <v>16447000000</v>
      </c>
      <c r="E10" s="18">
        <v>16706000000</v>
      </c>
      <c r="F10" s="8" t="s">
        <v>93</v>
      </c>
    </row>
    <row r="11" spans="1:6" x14ac:dyDescent="0.25">
      <c r="A11" t="s">
        <v>94</v>
      </c>
      <c r="B11" s="18">
        <v>3816000000</v>
      </c>
      <c r="C11" s="18">
        <v>2189000000</v>
      </c>
      <c r="D11" s="18">
        <v>2987000000</v>
      </c>
      <c r="E11" s="18">
        <v>3886000000</v>
      </c>
      <c r="F11" s="8" t="s">
        <v>95</v>
      </c>
    </row>
    <row r="12" spans="1:6" x14ac:dyDescent="0.25">
      <c r="A12" t="s">
        <v>32</v>
      </c>
      <c r="B12" s="34">
        <v>711600000</v>
      </c>
      <c r="C12" s="34">
        <v>705100000</v>
      </c>
      <c r="D12" s="34">
        <v>709000000</v>
      </c>
      <c r="E12" s="34">
        <v>725600000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2026-09-19T00:07:01Z</dcterms:modified>
</cp:coreProperties>
</file>