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<sst xmlns="http://schemas.openxmlformats.org/spreadsheetml/2006/main" count="112" uniqueCount="100">
  <si>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Downer EDI Limited (DOW.AX)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</si>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</sst>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-0.05868745547971976</v>
      </c>
    </row>
    <row r="7" spans="1:2" x14ac:dyDescent="0.25">
      <c r="A7" t="s">
        <v>5</v>
      </c>
      <c r="B7" s="6">
        <v>0.02223083747429382</v>
      </c>
    </row>
    <row r="8" spans="1:2" x14ac:dyDescent="0.25">
      <c r="A8" t="s">
        <v>6</v>
      </c>
      <c r="B8" s="6">
        <v>0.2585778219791149</v>
      </c>
    </row>
    <row r="9" spans="1:2" x14ac:dyDescent="0.25">
      <c r="A9" t="s">
        <v>7</v>
      </c>
      <c r="B9" s="6">
        <v>0.03054780156772804</v>
      </c>
    </row>
    <row r="10" spans="1:2" x14ac:dyDescent="0.25">
      <c r="A10" t="s">
        <v>8</v>
      </c>
      <c r="B10" s="6">
        <v>0.015651882433983088</v>
      </c>
    </row>
    <row r="11" spans="1:2" x14ac:dyDescent="0.25">
      <c r="A11" t="s">
        <v>9</v>
      </c>
      <c r="B11" s="6">
        <v>0.03675918979744936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7.760861157911343</v>
      </c>
    </row>
    <row r="14" spans="1:3" x14ac:dyDescent="0.25">
      <c r="A14" t="s">
        <v>12</v>
      </c>
      <c r="B14" s="6">
        <v>0.09709598370389802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1.0314899999999998</v>
      </c>
      <c r="C19" s="8" t="s">
        <v>19</v>
      </c>
    </row>
    <row r="20" spans="1:2" x14ac:dyDescent="0.25">
      <c r="A20" t="s">
        <v>20</v>
      </c>
      <c r="B20" s="10">
        <f>B17+B19*B18</f>
        <v>0.11536939999999998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4323109888</v>
      </c>
    </row>
    <row r="23" spans="1:2" x14ac:dyDescent="0.25">
      <c r="A23" t="s">
        <v>24</v>
      </c>
      <c r="B23" s="11">
        <v>1375200000</v>
      </c>
    </row>
    <row r="24" spans="1:2" x14ac:dyDescent="0.25">
      <c r="A24" t="s">
        <v>25</v>
      </c>
      <c r="B24" s="10">
        <f>B22/(B22+B23)</f>
        <v>0.7586652837368468</v>
      </c>
    </row>
    <row r="25" spans="1:2" x14ac:dyDescent="0.25">
      <c r="A25" t="s">
        <v>26</v>
      </c>
      <c r="B25" s="10">
        <f>1-B24</f>
        <v>0.24133471626315317</v>
      </c>
    </row>
    <row r="26" spans="1:2" x14ac:dyDescent="0.25">
      <c r="A26" t="s">
        <v>27</v>
      </c>
      <c r="B26" s="12">
        <f>B24*B20+B25*B21*(1-B8)</f>
        <v>0.09709598370389802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9704800000</v>
      </c>
      <c r="C29" s="8" t="s">
        <v>30</v>
      </c>
    </row>
    <row r="30" spans="1:2" x14ac:dyDescent="0.25">
      <c r="A30" t="s">
        <v>31</v>
      </c>
      <c r="B30" s="11">
        <v>596500000</v>
      </c>
    </row>
    <row r="31" spans="1:2" x14ac:dyDescent="0.25">
      <c r="A31" t="s">
        <v>32</v>
      </c>
      <c r="B31" s="13">
        <v>664700000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-0.05868745547971976</v>
      </c>
      <c r="C5" s="10">
        <f>Assumptions!B6</f>
        <v>-0.05868745547971976</v>
      </c>
      <c r="D5" s="10">
        <f>Assumptions!B6</f>
        <v>-0.05868745547971976</v>
      </c>
      <c r="E5" s="10">
        <f>Assumptions!B6</f>
        <v>-0.05868745547971976</v>
      </c>
      <c r="F5" s="10">
        <f>Assumptions!B6</f>
        <v>-0.05868745547971976</v>
      </c>
    </row>
    <row r="6" spans="1:6" x14ac:dyDescent="0.25">
      <c r="A6" t="s">
        <v>43</v>
      </c>
      <c r="B6" s="18">
        <f>Assumptions!B29*(1+B5)</f>
        <v>9135249982.060415</v>
      </c>
      <c r="C6" s="18">
        <f>B6*(1+C5)</f>
        <v>8599125405.442133</v>
      </c>
      <c r="D6" s="18">
        <f>C6*(1+D5)</f>
        <v>8094464616.045721</v>
      </c>
      <c r="E6" s="18">
        <f>D6*(1+E5)</f>
        <v>7619421084.259371</v>
      </c>
      <c r="F6" s="18">
        <f>E6*(1+F5)</f>
        <v>7172256648.595661</v>
      </c>
    </row>
    <row r="7" spans="1:6" x14ac:dyDescent="0.25">
      <c r="A7" t="s">
        <v>5</v>
      </c>
      <c r="B7" s="10">
        <f>Assumptions!B7</f>
        <v>0.02223083747429382</v>
      </c>
      <c r="C7" s="10">
        <f>Assumptions!B7</f>
        <v>0.02223083747429382</v>
      </c>
      <c r="D7" s="10">
        <f>Assumptions!B7</f>
        <v>0.02223083747429382</v>
      </c>
      <c r="E7" s="10">
        <f>Assumptions!B7</f>
        <v>0.02223083747429382</v>
      </c>
      <c r="F7" s="10">
        <f>Assumptions!B7</f>
        <v>0.02223083747429382</v>
      </c>
    </row>
    <row r="8" spans="1:6" x14ac:dyDescent="0.25">
      <c r="A8" t="s">
        <v>44</v>
      </c>
      <c r="B8" s="18">
        <f>B6*B7</f>
        <v>203084257.63823062</v>
      </c>
      <c r="C8" s="18">
        <f>C6*C7</f>
        <v>191165759.309455</v>
      </c>
      <c r="D8" s="18">
        <f>D6*D7</f>
        <v>179946727.32073456</v>
      </c>
      <c r="E8" s="18">
        <f>E6*E7</f>
        <v>169386111.77237767</v>
      </c>
      <c r="F8" s="18">
        <f>F6*F7</f>
        <v>159445271.8788534</v>
      </c>
    </row>
    <row r="9" spans="1:6" x14ac:dyDescent="0.25">
      <c r="A9" t="s">
        <v>45</v>
      </c>
      <c r="B9" s="18">
        <f>B8*(1-Assumptions!B8)</f>
        <v>150571172.61989152</v>
      </c>
      <c r="C9" s="18">
        <f>C8*(1-Assumptions!B8)</f>
        <v>141734533.63023242</v>
      </c>
      <c r="D9" s="18">
        <f>D8*(1-Assumptions!B8)</f>
        <v>133416494.49786934</v>
      </c>
      <c r="E9" s="18">
        <f>E8*(1-Assumptions!B8)</f>
        <v>125586619.91676535</v>
      </c>
      <c r="F9" s="18">
        <f>F8*(1-Assumptions!B8)</f>
        <v>118216260.75155169</v>
      </c>
    </row>
    <row r="10" spans="1:6" x14ac:dyDescent="0.25">
      <c r="A10" t="s">
        <v>46</v>
      </c>
      <c r="B10" s="18">
        <f>B6*Assumptions!B9</f>
        <v>279061803.72357273</v>
      </c>
      <c r="C10" s="18">
        <f>C6*Assumptions!B9</f>
        <v>262684376.5414552</v>
      </c>
      <c r="D10" s="18">
        <f>D6*Assumptions!B9</f>
        <v>247268098.88796064</v>
      </c>
      <c r="E10" s="18">
        <f>E6*Assumptions!B9</f>
        <v>232756563.3429185</v>
      </c>
      <c r="F10" s="18">
        <f>F6*Assumptions!B9</f>
        <v>219096672.8941184</v>
      </c>
    </row>
    <row r="11" spans="1:6" x14ac:dyDescent="0.25">
      <c r="A11" t="s">
        <v>47</v>
      </c>
      <c r="B11" s="18">
        <f>-B6*Assumptions!B10</f>
        <v>-142983858.72425574</v>
      </c>
      <c r="C11" s="18">
        <f>-C6*Assumptions!B10</f>
        <v>-134592499.8810574</v>
      </c>
      <c r="D11" s="18">
        <f>-D6*Assumptions!B10</f>
        <v>-126693608.53638369</v>
      </c>
      <c r="E11" s="18">
        <f>-E6*Assumptions!B10</f>
        <v>-119258283.02583963</v>
      </c>
      <c r="F11" s="18">
        <f>-F6*Assumptions!B10</f>
        <v>-112259317.85017285</v>
      </c>
    </row>
    <row r="12" spans="1:6" x14ac:dyDescent="0.25">
      <c r="A12" t="s">
        <v>48</v>
      </c>
      <c r="B12" s="18">
        <f>-(B6-Assumptions!B29)*Assumptions!B11</f>
        <v>20936197.208581883</v>
      </c>
      <c r="C12" s="18">
        <f>-(C6-B6)*Assumptions!B11</f>
        <v>19707505.06698862</v>
      </c>
      <c r="D12" s="18">
        <f>-(D6-C6)*Assumptions!B11</f>
        <v>18550921.740753327</v>
      </c>
      <c r="E12" s="18">
        <f>-(E6-D6)*Assumptions!B11</f>
        <v>17462215.346985117</v>
      </c>
      <c r="F12" s="18">
        <f>-(F6-E6)*Assumptions!B11</f>
        <v>16437402.361231636</v>
      </c>
    </row>
    <row r="13" spans="1:6" x14ac:dyDescent="0.25">
      <c r="A13" s="19" t="s">
        <v>49</v>
      </c>
      <c r="B13" s="20">
        <f>B9+B10+B11+B12</f>
        <v>307585314.8277904</v>
      </c>
      <c r="C13" s="20">
        <f>C9+C10+C11+C12</f>
        <v>289533915.35761887</v>
      </c>
      <c r="D13" s="20">
        <f>D9+D10+D11+D12</f>
        <v>272541906.59019965</v>
      </c>
      <c r="E13" s="20">
        <f>E9+E10+E11+E12</f>
        <v>256547115.58082932</v>
      </c>
      <c r="F13" s="20">
        <f>F9+F10+F11+F12</f>
        <v>241491018.15672883</v>
      </c>
    </row>
    <row r="14" spans="1:6" x14ac:dyDescent="0.25">
      <c r="A14" t="s">
        <v>50</v>
      </c>
      <c r="B14" s="21">
        <f>1/(1+Assumptions!$B$26)^(1-0.5*Assumptions!$B$32)</f>
        <v>0.95472366441891</v>
      </c>
      <c r="C14" s="21">
        <f>1/(1+Assumptions!$B$26)^(2-0.5*Assumptions!$B$32)</f>
        <v>0.8702280188791449</v>
      </c>
      <c r="D14" s="21">
        <f>1/(1+Assumptions!$B$26)^(3-0.5*Assumptions!$B$32)</f>
        <v>0.7932104681863608</v>
      </c>
      <c r="E14" s="21">
        <f>1/(1+Assumptions!$B$26)^(4-0.5*Assumptions!$B$32)</f>
        <v>0.7230091805717932</v>
      </c>
      <c r="F14" s="21">
        <f>1/(1+Assumptions!$B$26)^(5-0.5*Assumptions!$B$32)</f>
        <v>0.6590208981814398</v>
      </c>
    </row>
    <row r="15" spans="1:6" x14ac:dyDescent="0.25">
      <c r="A15" s="19" t="s">
        <v>51</v>
      </c>
      <c r="B15" s="20">
        <f>B13*B14</f>
        <v>293658978.89383215</v>
      </c>
      <c r="C15" s="20">
        <f>C13*C14</f>
        <v>251960525.5599827</v>
      </c>
      <c r="D15" s="20">
        <f>D13*D14</f>
        <v>216183093.32681566</v>
      </c>
      <c r="E15" s="20">
        <f>E13*E14</f>
        <v>185485919.81415254</v>
      </c>
      <c r="F15" s="20">
        <f>F13*F14</f>
        <v>159147627.68839782</v>
      </c>
    </row>
    <row r="17" spans="1:2" x14ac:dyDescent="0.25">
      <c r="A17" s="22" t="s">
        <v>52</v>
      </c>
      <c r="B17" s="23">
        <f>SUM(B15:F15)</f>
        <v>1106436145.283181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241491018.15672883</v>
      </c>
    </row>
    <row r="5" spans="1:2" x14ac:dyDescent="0.25">
      <c r="A5" t="s">
        <v>56</v>
      </c>
      <c r="B5" s="18">
        <f>IF(Assumptions!$B$33=0,B4,B4-Forecast!F11-Forecast!F10-Forecast!F12)</f>
        <v>118216260.75155169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0.25747717924398916</v>
      </c>
    </row>
    <row r="7" spans="1:2" x14ac:dyDescent="0.25">
      <c r="A7" t="s">
        <v>58</v>
      </c>
      <c r="B7" s="18">
        <f>-MAX(Forecast!F9,0)*B6</f>
        <v>-30437989.359081436</v>
      </c>
    </row>
    <row r="8" spans="1:2" x14ac:dyDescent="0.25">
      <c r="A8" t="s">
        <v>59</v>
      </c>
      <c r="B8" s="18">
        <f>IF(OR(Assumptions!$B$33=0,Assumptions!B12&lt;=0),B5,MAX(B5+B7,0))</f>
        <v>87778271.39247026</v>
      </c>
    </row>
    <row r="9" spans="1:2" x14ac:dyDescent="0.25">
      <c r="A9" t="s">
        <v>60</v>
      </c>
      <c r="B9" s="18">
        <f>B8*(1+Assumptions!B12)/(Assumptions!B26-Assumptions!B12)</f>
        <v>1247957563.7223387</v>
      </c>
    </row>
    <row r="10" spans="1:2" x14ac:dyDescent="0.25">
      <c r="A10" t="s">
        <v>61</v>
      </c>
      <c r="B10" s="18">
        <f>B9/(1+Assumptions!B26)^(5-0.5*Assumptions!B32)</f>
        <v>822430114.536617</v>
      </c>
    </row>
    <row r="11" spans="1:2" x14ac:dyDescent="0.25">
      <c r="A11" t="s">
        <v>62</v>
      </c>
      <c r="B11" s="18">
        <f>Forecast!B17+B10</f>
        <v>1928866259.819798</v>
      </c>
    </row>
    <row r="12" spans="1:2" x14ac:dyDescent="0.25">
      <c r="A12" t="s">
        <v>63</v>
      </c>
      <c r="B12" s="18">
        <f>-Assumptions!B30</f>
        <v>-596500000</v>
      </c>
    </row>
    <row r="13" spans="1:2" x14ac:dyDescent="0.25">
      <c r="A13" t="s">
        <v>64</v>
      </c>
      <c r="B13" s="18">
        <f>B11+B12</f>
        <v>1332366259.819798</v>
      </c>
    </row>
    <row r="14" spans="1:2" x14ac:dyDescent="0.25">
      <c r="A14" s="19" t="s">
        <v>65</v>
      </c>
      <c r="B14" s="24">
        <f>B13/Assumptions!B31</f>
        <v>2.0044625542647783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378541944.7729718</v>
      </c>
    </row>
    <row r="18" spans="1:2" x14ac:dyDescent="0.25">
      <c r="A18" t="s">
        <v>60</v>
      </c>
      <c r="B18" s="18">
        <f>B17*Assumptions!B13</f>
        <v>2937811475.828778</v>
      </c>
    </row>
    <row r="19" spans="1:2" x14ac:dyDescent="0.25">
      <c r="A19" t="s">
        <v>61</v>
      </c>
      <c r="B19" s="18">
        <f>B18/(1+Assumptions!B26)^(5-0.5*Assumptions!B32)</f>
        <v>1936079157.4884224</v>
      </c>
    </row>
    <row r="20" spans="1:2" x14ac:dyDescent="0.25">
      <c r="A20" t="s">
        <v>62</v>
      </c>
      <c r="B20" s="18">
        <f>Forecast!B17+B19</f>
        <v>3042515302.7716036</v>
      </c>
    </row>
    <row r="21" spans="1:2" x14ac:dyDescent="0.25">
      <c r="A21" t="s">
        <v>63</v>
      </c>
      <c r="B21" s="18">
        <f>-Assumptions!B30</f>
        <v>-596500000</v>
      </c>
    </row>
    <row r="22" spans="1:2" x14ac:dyDescent="0.25">
      <c r="A22" t="s">
        <v>64</v>
      </c>
      <c r="B22" s="18">
        <f>B20+B21</f>
        <v>2446015302.7716036</v>
      </c>
    </row>
    <row r="23" spans="1:2" x14ac:dyDescent="0.25">
      <c r="A23" s="19" t="s">
        <v>65</v>
      </c>
      <c r="B23" s="25">
        <f>B22/Assumptions!B31</f>
        <v>3.6798785960156515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6.56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2.0044625542647783</v>
      </c>
    </row>
    <row r="29" spans="1:2" x14ac:dyDescent="0.25">
      <c r="A29" s="19" t="s">
        <v>73</v>
      </c>
      <c r="B29" s="12">
        <f>B28/B26-1</f>
        <v>-0.6944416838011009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0.077096</v>
      </c>
      <c r="B5" s="31">
        <v>2.512650139536153</v>
      </c>
      <c r="C5" s="31">
        <v>2.520907568362943</v>
      </c>
      <c r="D5" s="31">
        <v>2.529164997189734</v>
      </c>
      <c r="E5" s="31">
        <v>2.5374224260165232</v>
      </c>
      <c r="F5" s="31">
        <v>2.545679854843314</v>
      </c>
    </row>
    <row r="6" spans="1:6" x14ac:dyDescent="0.25">
      <c r="A6" s="30">
        <v>0.087096</v>
      </c>
      <c r="B6" s="31">
        <v>2.224484979756213</v>
      </c>
      <c r="C6" s="31">
        <v>2.231496590438839</v>
      </c>
      <c r="D6" s="31">
        <v>2.2385082011214643</v>
      </c>
      <c r="E6" s="31">
        <v>2.24551981180409</v>
      </c>
      <c r="F6" s="31">
        <v>2.2525314224867157</v>
      </c>
    </row>
    <row r="7" spans="1:6" x14ac:dyDescent="0.25">
      <c r="A7" s="30">
        <v>0.097096</v>
      </c>
      <c r="B7" s="31">
        <v>1.9923910398058564</v>
      </c>
      <c r="C7" s="31">
        <v>1.9984266246949207</v>
      </c>
      <c r="D7" s="32">
        <v>2.0044622095839846</v>
      </c>
      <c r="E7" s="31">
        <v>2.010497794473048</v>
      </c>
      <c r="F7" s="31">
        <v>2.0165333793621123</v>
      </c>
    </row>
    <row r="8" spans="1:6" x14ac:dyDescent="0.25">
      <c r="A8" s="30">
        <v>0.107096</v>
      </c>
      <c r="B8" s="31">
        <v>1.8008229648597542</v>
      </c>
      <c r="C8" s="31">
        <v>1.8060760510437115</v>
      </c>
      <c r="D8" s="31">
        <v>1.8113291372276683</v>
      </c>
      <c r="E8" s="31">
        <v>1.8165822234116251</v>
      </c>
      <c r="F8" s="31">
        <v>1.8218353095955817</v>
      </c>
    </row>
    <row r="9" spans="1:6" x14ac:dyDescent="0.25">
      <c r="A9" s="30">
        <v>0.117096</v>
      </c>
      <c r="B9" s="31">
        <v>1.6395362142475538</v>
      </c>
      <c r="C9" s="31">
        <v>1.6441501574992032</v>
      </c>
      <c r="D9" s="31">
        <v>1.648764100750853</v>
      </c>
      <c r="E9" s="31">
        <v>1.6533780440025028</v>
      </c>
      <c r="F9" s="31">
        <v>1.6579919872541522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9704800000</v>
      </c>
      <c r="C5" s="18">
        <v>10472100000</v>
      </c>
      <c r="D5" s="18">
        <v>10969000000</v>
      </c>
      <c r="E5" s="18">
        <v>11635500000</v>
      </c>
      <c r="F5" s="8" t="s">
        <v>84</v>
      </c>
    </row>
    <row r="6" spans="1:6" x14ac:dyDescent="0.25">
      <c r="A6" t="s">
        <v>44</v>
      </c>
      <c r="B6" s="18">
        <v>352000000</v>
      </c>
      <c r="C6" s="18">
        <v>254300000</v>
      </c>
      <c r="D6" s="18">
        <v>157800000</v>
      </c>
      <c r="E6" s="18">
        <v>162700000</v>
      </c>
      <c r="F6" s="8" t="s">
        <v>85</v>
      </c>
    </row>
    <row r="7" spans="1:6" x14ac:dyDescent="0.25">
      <c r="A7" t="s">
        <v>86</v>
      </c>
      <c r="B7" s="18">
        <v>281900000</v>
      </c>
      <c r="C7" s="18">
        <v>342500000</v>
      </c>
      <c r="D7" s="18">
        <v>346000000</v>
      </c>
      <c r="E7" s="18">
        <v>336200000</v>
      </c>
      <c r="F7" s="8" t="s">
        <v>87</v>
      </c>
    </row>
    <row r="8" spans="1:6" x14ac:dyDescent="0.25">
      <c r="A8" t="s">
        <v>88</v>
      </c>
      <c r="B8" s="18">
        <v>144900000</v>
      </c>
      <c r="C8" s="18">
        <v>122900000</v>
      </c>
      <c r="D8" s="18">
        <v>146300000</v>
      </c>
      <c r="E8" s="18">
        <v>263000000</v>
      </c>
      <c r="F8" s="8" t="s">
        <v>89</v>
      </c>
    </row>
    <row r="9" spans="1:6" x14ac:dyDescent="0.25">
      <c r="A9" t="s">
        <v>90</v>
      </c>
      <c r="B9" s="18">
        <v>56500000</v>
      </c>
      <c r="C9" s="18">
        <v>-87500000</v>
      </c>
      <c r="D9" s="18">
        <v>-24500000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1375200000</v>
      </c>
      <c r="C10" s="18">
        <v>1538400000</v>
      </c>
      <c r="D10" s="18">
        <v>1810400000</v>
      </c>
      <c r="E10" s="18">
        <v>2138500000</v>
      </c>
      <c r="F10" s="8" t="s">
        <v>93</v>
      </c>
    </row>
    <row r="11" spans="1:6" x14ac:dyDescent="0.25">
      <c r="A11" t="s">
        <v>94</v>
      </c>
      <c r="B11" s="18">
        <v>778700000</v>
      </c>
      <c r="C11" s="18">
        <v>839700000</v>
      </c>
      <c r="D11" s="18">
        <v>856700000</v>
      </c>
      <c r="E11" s="18">
        <v>896700000</v>
      </c>
      <c r="F11" s="8" t="s">
        <v>95</v>
      </c>
    </row>
    <row r="12" spans="1:6" x14ac:dyDescent="0.25">
      <c r="A12" t="s">
        <v>32</v>
      </c>
      <c r="B12" s="34">
        <v>664700000</v>
      </c>
      <c r="C12" s="34">
        <v>670800000</v>
      </c>
      <c r="D12" s="34">
        <v>670400000</v>
      </c>
      <c r="E12" s="34">
        <v>671500000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2026-09-19T00:06:39Z</dcterms:modified>
</cp:coreProperties>
</file>