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<sst xmlns="http://schemas.openxmlformats.org/spreadsheetml/2006/main" count="113" uniqueCount="101">
  <si>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Diploma PLC (DPLM.L)</t>
  </si>
  <si>
    <t>DCF Studio - Base case</t>
  </si>
  <si>
    <t>Blue figures on a cream fill are inputs. Every other figure is a formula - change an input and the model reprices. Currency figures are GBP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</si>
  <si>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</si>
  <si>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</si>
  <si>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</si>
  <si>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</si>
  <si>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</si>
  <si>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</si>
  <si>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</si>
  <si>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</si>
  <si>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</si>
  <si>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</si>
  <si>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</si>
  <si>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</si>
  <si>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</si>
  <si>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GBP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</si>
  <si>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</si>
  <si>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</si>
  <si>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</si>
  <si>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</si>
  <si>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</si>
  <si>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</si>
  <si>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(GBP m)</t>
  </si>
  <si>
    <t>Total debt (GBP m)</t>
  </si>
  <si>
    <t>Equity weight</t>
  </si>
  <si>
    <t>Debt weight</t>
  </si>
  <si>
    <t>WACC</t>
  </si>
  <si>
    <t>Base year</t>
  </si>
  <si>
    <t>Revenue, last reported year (GBP m)</t>
  </si>
  <si>
    <t>Fiscal year ended 2025-09-30</t>
  </si>
  <si>
    <t>Net debt (GBP m)</t>
  </si>
  <si>
    <t>Diluted shares</t>
  </si>
  <si>
    <t>Mid-year discounting (1 = yes, 0 = no)</t>
  </si>
  <si>
    <t>Terminal year on a steady-state footing (1 = yes, 0 = no)</t>
  </si>
  <si>
    <t>Forecast cashflows (GBP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</si>
  <si>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</si>
  <si>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</si>
  <si>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</si>
  <si>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</si>
  <si>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</si>
  <si>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</si>
  <si>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</si>
  <si>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</si>
  <si>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</si>
  <si>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</si>
  <si>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</si>
  <si>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</si>
  <si>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</si>
  <si>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</si>
  <si>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</si>
  <si>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</si>
  <si>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</si>
  <si>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(GBP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</si>
  <si>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</si>
  <si>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</si>
  <si>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</si>
  <si>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</si>
  <si>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</si>
  <si>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</si>
  <si>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</si>
  <si>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</si>
  <si>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</si>
  <si>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</si>
  <si>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</si>
  <si>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</si>
  <si>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</si>
  <si>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</si>
  <si>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</si>
  <si>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(GBp)</t>
  </si>
  <si>
    <t>Conversion, GBP to GBp</t>
  </si>
  <si>
    <t>then x100, because GBp is a sub-unit of GBP</t>
  </si>
  <si>
    <t>Value per share (GBp)</t>
  </si>
  <si>
    <t>Implied upside</t>
  </si>
  <si>
    <t>Value per share (GBP)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</si>
  <si>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</si>
  <si>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(GBP m, except shares)</t>
  </si>
  <si>
    <t>What the model was built from. "derived" means the figure was not reported and was computed - the note says how.</t>
  </si>
  <si>
    <t>Fiscal year end</t>
  </si>
  <si>
    <t>2025-09-30</t>
  </si>
  <si>
    <t>2024-09-30</t>
  </si>
  <si>
    <t>2023-09-30</t>
  </si>
  <si>
    <t>2022-09-30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</si>
  <si>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</si>
  <si>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</si>
  <si>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</si>
  <si>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</si>
  <si>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</si>
  <si>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</si>
  <si>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</si>
  <si>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</si>
  <si>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</si>
  <si>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</si>
  <si>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</si>
  <si>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</si>
  <si>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</si>
  <si>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</si>
  <si>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</si>
  <si>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GBP assumption - no free live source available for this market.</t>
  </si>
  <si>
    <t>Current EV/EBITDA of 32.3x sits outside a defensible 3-20x band, so the exit multiple is capped at 20.0x. A multiple that far out usually means EBITDA is the wrong denominator for this business.</t>
  </si>
  <si>
    <t>Data: Yahoo Finance. Risk-free rate: GBP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</si>
</sst>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0.14604387742136415</v>
      </c>
    </row>
    <row r="7" spans="1:2" x14ac:dyDescent="0.25">
      <c r="A7" t="s">
        <v>5</v>
      </c>
      <c r="B7" s="6">
        <v>0.15895787675810805</v>
      </c>
    </row>
    <row r="8" spans="1:2" x14ac:dyDescent="0.25">
      <c r="A8" t="s">
        <v>6</v>
      </c>
      <c r="B8" s="6">
        <v>0.25</v>
      </c>
    </row>
    <row r="9" spans="1:2" x14ac:dyDescent="0.25">
      <c r="A9" t="s">
        <v>7</v>
      </c>
      <c r="B9" s="6">
        <v>0.02276232733128209</v>
      </c>
    </row>
    <row r="10" spans="1:2" x14ac:dyDescent="0.25">
      <c r="A10" t="s">
        <v>8</v>
      </c>
      <c r="B10" s="6">
        <v>0.014586362762172265</v>
      </c>
    </row>
    <row r="11" spans="1:2" x14ac:dyDescent="0.25">
      <c r="A11" t="s">
        <v>9</v>
      </c>
      <c r="B11" s="6">
        <v>0.028553693358162633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0.11415132601423644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0.045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0.94305</v>
      </c>
      <c r="C19" s="8" t="s">
        <v>19</v>
      </c>
    </row>
    <row r="20" spans="1:2" x14ac:dyDescent="0.25">
      <c r="A20" t="s">
        <v>20</v>
      </c>
      <c r="B20" s="10">
        <f>B17+B19*B18</f>
        <v>0.09686775</v>
      </c>
    </row>
    <row r="21" spans="1:3" x14ac:dyDescent="0.25">
      <c r="A21" t="s">
        <v>21</v>
      </c>
      <c r="B21" s="6">
        <v>0.05054080629301868</v>
      </c>
      <c r="C21" s="8" t="s">
        <v>22</v>
      </c>
    </row>
    <row r="22" spans="1:2" x14ac:dyDescent="0.25">
      <c r="A22" t="s">
        <v>23</v>
      </c>
      <c r="B22" s="11">
        <v>9815742464</v>
      </c>
    </row>
    <row r="23" spans="1:2" x14ac:dyDescent="0.25">
      <c r="A23" t="s">
        <v>24</v>
      </c>
      <c r="B23" s="11">
        <v>464900000</v>
      </c>
    </row>
    <row r="24" spans="1:2" x14ac:dyDescent="0.25">
      <c r="A24" t="s">
        <v>25</v>
      </c>
      <c r="B24" s="10">
        <f>B22/(B22+B23)</f>
        <v>0.9547790907399073</v>
      </c>
    </row>
    <row r="25" spans="1:2" x14ac:dyDescent="0.25">
      <c r="A25" t="s">
        <v>26</v>
      </c>
      <c r="B25" s="10">
        <f>1-B24</f>
        <v>0.0452209092600927</v>
      </c>
    </row>
    <row r="26" spans="1:2" x14ac:dyDescent="0.25">
      <c r="A26" t="s">
        <v>27</v>
      </c>
      <c r="B26" s="12">
        <f>B24*B20+B25*B21*(1-B8)</f>
        <v>0.09420142817850205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1524500000</v>
      </c>
      <c r="C29" s="8" t="s">
        <v>30</v>
      </c>
    </row>
    <row r="30" spans="1:2" x14ac:dyDescent="0.25">
      <c r="A30" t="s">
        <v>31</v>
      </c>
      <c r="B30" s="11">
        <v>383200000</v>
      </c>
    </row>
    <row r="31" spans="1:2" x14ac:dyDescent="0.25">
      <c r="A31" t="s">
        <v>32</v>
      </c>
      <c r="B31" s="13">
        <v>134658354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0.14604387742136415</v>
      </c>
      <c r="C5" s="10">
        <f>Assumptions!B6</f>
        <v>0.14604387742136415</v>
      </c>
      <c r="D5" s="10">
        <f>Assumptions!B6</f>
        <v>0.14604387742136415</v>
      </c>
      <c r="E5" s="10">
        <f>Assumptions!B6</f>
        <v>0.14604387742136415</v>
      </c>
      <c r="F5" s="10">
        <f>Assumptions!B6</f>
        <v>0.14604387742136415</v>
      </c>
    </row>
    <row r="6" spans="1:6" x14ac:dyDescent="0.25">
      <c r="A6" t="s">
        <v>43</v>
      </c>
      <c r="B6" s="18">
        <f>Assumptions!B29*(1+B5)</f>
        <v>1747143891.1288698</v>
      </c>
      <c r="C6" s="18">
        <f>B6*(1+C5)</f>
        <v>2002303559.4023795</v>
      </c>
      <c r="D6" s="18">
        <f>C6*(1+D5)</f>
        <v>2294727734.9921017</v>
      </c>
      <c r="E6" s="18">
        <f>D6*(1+E5)</f>
        <v>2629858671.0366926</v>
      </c>
      <c r="F6" s="18">
        <f>E6*(1+F5)</f>
        <v>3013933428.425087</v>
      </c>
    </row>
    <row r="7" spans="1:6" x14ac:dyDescent="0.25">
      <c r="A7" t="s">
        <v>5</v>
      </c>
      <c r="B7" s="10">
        <f>Assumptions!B7</f>
        <v>0.15895787675810805</v>
      </c>
      <c r="C7" s="10">
        <f>Assumptions!B7</f>
        <v>0.15895787675810805</v>
      </c>
      <c r="D7" s="10">
        <f>Assumptions!B7</f>
        <v>0.15895787675810805</v>
      </c>
      <c r="E7" s="10">
        <f>Assumptions!B7</f>
        <v>0.15895787675810805</v>
      </c>
      <c r="F7" s="10">
        <f>Assumptions!B7</f>
        <v>0.15895787675810805</v>
      </c>
    </row>
    <row r="8" spans="1:6" x14ac:dyDescent="0.25">
      <c r="A8" t="s">
        <v>44</v>
      </c>
      <c r="B8" s="18">
        <f>B6*B7</f>
        <v>277722283.3247442</v>
      </c>
      <c r="C8" s="18">
        <f>C6*C7</f>
        <v>318281922.4278045</v>
      </c>
      <c r="D8" s="18">
        <f>D6*D7</f>
        <v>364765048.4922869</v>
      </c>
      <c r="E8" s="18">
        <f>E6*E7</f>
        <v>418036750.52189237</v>
      </c>
      <c r="F8" s="18">
        <f>F6*F7</f>
        <v>479088458.472737</v>
      </c>
    </row>
    <row r="9" spans="1:6" x14ac:dyDescent="0.25">
      <c r="A9" t="s">
        <v>45</v>
      </c>
      <c r="B9" s="18">
        <f>B8*(1-Assumptions!B8)</f>
        <v>208291712.49355817</v>
      </c>
      <c r="C9" s="18">
        <f>C8*(1-Assumptions!B8)</f>
        <v>238711441.8208534</v>
      </c>
      <c r="D9" s="18">
        <f>D8*(1-Assumptions!B8)</f>
        <v>273573786.3692152</v>
      </c>
      <c r="E9" s="18">
        <f>E8*(1-Assumptions!B8)</f>
        <v>313527562.8914193</v>
      </c>
      <c r="F9" s="18">
        <f>F8*(1-Assumptions!B8)</f>
        <v>359316343.85455275</v>
      </c>
    </row>
    <row r="10" spans="1:6" x14ac:dyDescent="0.25">
      <c r="A10" t="s">
        <v>46</v>
      </c>
      <c r="B10" s="18">
        <f>B6*Assumptions!B9</f>
        <v>39769061.14472521</v>
      </c>
      <c r="C10" s="18">
        <f>C6*Assumptions!B9</f>
        <v>45577089.0357082</v>
      </c>
      <c r="D10" s="18">
        <f>D6*Assumptions!B9</f>
        <v>52233343.84006176</v>
      </c>
      <c r="E10" s="18">
        <f>E6*Assumptions!B9</f>
        <v>59861703.90514771</v>
      </c>
      <c r="F10" s="18">
        <f>F6*Assumptions!B9</f>
        <v>68604139.2525051</v>
      </c>
    </row>
    <row r="11" spans="1:6" x14ac:dyDescent="0.25">
      <c r="A11" t="s">
        <v>47</v>
      </c>
      <c r="B11" s="18">
        <f>-B6*Assumptions!B10</f>
        <v>-25484474.5937189</v>
      </c>
      <c r="C11" s="18">
        <f>-C6*Assumptions!B10</f>
        <v>-29206326.07743185</v>
      </c>
      <c r="D11" s="18">
        <f>-D6*Assumptions!B10</f>
        <v>-33471731.183012698</v>
      </c>
      <c r="E11" s="18">
        <f>-E6*Assumptions!B10</f>
        <v>-38360072.58898545</v>
      </c>
      <c r="F11" s="18">
        <f>-F6*Assumptions!B10</f>
        <v>-43962326.328045875</v>
      </c>
    </row>
    <row r="12" spans="1:6" x14ac:dyDescent="0.25">
      <c r="A12" t="s">
        <v>48</v>
      </c>
      <c r="B12" s="18">
        <f>-(B6-Assumptions!B29)*Assumptions!B11</f>
        <v>-6357305.395361893</v>
      </c>
      <c r="C12" s="18">
        <f>-(C6-B6)*Assumptions!B11</f>
        <v>-7285750.925252296</v>
      </c>
      <c r="D12" s="18">
        <f>-(D6-C6)*Assumptions!B11</f>
        <v>-8349790.240302433</v>
      </c>
      <c r="E12" s="18">
        <f>-(E6-D6)*Assumptions!B11</f>
        <v>-9569225.982651263</v>
      </c>
      <c r="F12" s="18">
        <f>-(F6-E6)*Assumptions!B11</f>
        <v>-10966752.84907892</v>
      </c>
    </row>
    <row r="13" spans="1:6" x14ac:dyDescent="0.25">
      <c r="A13" s="19" t="s">
        <v>49</v>
      </c>
      <c r="B13" s="20">
        <f>B9+B10+B11+B12</f>
        <v>216218993.6492026</v>
      </c>
      <c r="C13" s="20">
        <f>C9+C10+C11+C12</f>
        <v>247796453.85387745</v>
      </c>
      <c r="D13" s="20">
        <f>D9+D10+D11+D12</f>
        <v>283985608.7859618</v>
      </c>
      <c r="E13" s="20">
        <f>E9+E10+E11+E12</f>
        <v>325459968.2249303</v>
      </c>
      <c r="F13" s="20">
        <f>F9+F10+F11+F12</f>
        <v>372991403.9299331</v>
      </c>
    </row>
    <row r="14" spans="1:6" x14ac:dyDescent="0.25">
      <c r="A14" t="s">
        <v>50</v>
      </c>
      <c r="B14" s="21">
        <f>1/(1+Assumptions!$B$26)^(1-0.5*Assumptions!$B$32)</f>
        <v>0.9559856237746175</v>
      </c>
      <c r="C14" s="21">
        <f>1/(1+Assumptions!$B$26)^(2-0.5*Assumptions!$B$32)</f>
        <v>0.8736833997429797</v>
      </c>
      <c r="D14" s="21">
        <f>1/(1+Assumptions!$B$26)^(3-0.5*Assumptions!$B$32)</f>
        <v>0.798466696572847</v>
      </c>
      <c r="E14" s="21">
        <f>1/(1+Assumptions!$B$26)^(4-0.5*Assumptions!$B$32)</f>
        <v>0.7297255112361173</v>
      </c>
      <c r="F14" s="21">
        <f>1/(1+Assumptions!$B$26)^(5-0.5*Assumptions!$B$32)</f>
        <v>0.6669023567725355</v>
      </c>
    </row>
    <row r="15" spans="1:6" x14ac:dyDescent="0.25">
      <c r="A15" s="19" t="s">
        <v>51</v>
      </c>
      <c r="B15" s="20">
        <f>B13*B14</f>
        <v>206702249.51565298</v>
      </c>
      <c r="C15" s="20">
        <f>C13*C14</f>
        <v>216495648.24731004</v>
      </c>
      <c r="D15" s="20">
        <f>D13*D14</f>
        <v>226753050.9215558</v>
      </c>
      <c r="E15" s="20">
        <f>E13*E14</f>
        <v>237496441.69982773</v>
      </c>
      <c r="F15" s="20">
        <f>F13*F14</f>
        <v>248748846.33676913</v>
      </c>
    </row>
    <row r="17" spans="1:2" x14ac:dyDescent="0.25">
      <c r="A17" s="22" t="s">
        <v>52</v>
      </c>
      <c r="B17" s="23">
        <f>SUM(B15:F15)</f>
        <v>1136196236.7211156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372991403.9299331</v>
      </c>
    </row>
    <row r="5" spans="1:2" x14ac:dyDescent="0.25">
      <c r="A5" t="s">
        <v>56</v>
      </c>
      <c r="B5" s="18">
        <f>IF(Assumptions!$B$33=0,B4,B4-Forecast!F11-Forecast!F10-Forecast!F12)</f>
        <v>360622536.946398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0.2190075303801737</v>
      </c>
    </row>
    <row r="7" spans="1:2" x14ac:dyDescent="0.25">
      <c r="A7" t="s">
        <v>58</v>
      </c>
      <c r="B7" s="18">
        <f>-MAX(Forecast!F9,0)*B6</f>
        <v>-78979051.21606357</v>
      </c>
    </row>
    <row r="8" spans="1:2" x14ac:dyDescent="0.25">
      <c r="A8" t="s">
        <v>59</v>
      </c>
      <c r="B8" s="18">
        <f>IF(OR(Assumptions!$B$33=0,Assumptions!B12&lt;=0),B5,MAX(B5+B7,0))</f>
        <v>281643485.73033446</v>
      </c>
    </row>
    <row r="9" spans="1:2" x14ac:dyDescent="0.25">
      <c r="A9" t="s">
        <v>60</v>
      </c>
      <c r="B9" s="18">
        <f>B8*(1+Assumptions!B12)/(Assumptions!B26-Assumptions!B12)</f>
        <v>4171656286.1816025</v>
      </c>
    </row>
    <row r="10" spans="1:2" x14ac:dyDescent="0.25">
      <c r="A10" t="s">
        <v>61</v>
      </c>
      <c r="B10" s="18">
        <f>B9/(1+Assumptions!B26)^(5-0.5*Assumptions!B32)</f>
        <v>2782087408.8994737</v>
      </c>
    </row>
    <row r="11" spans="1:2" x14ac:dyDescent="0.25">
      <c r="A11" t="s">
        <v>62</v>
      </c>
      <c r="B11" s="18">
        <f>Forecast!B17+B10</f>
        <v>3918283645.6205893</v>
      </c>
    </row>
    <row r="12" spans="1:2" x14ac:dyDescent="0.25">
      <c r="A12" t="s">
        <v>63</v>
      </c>
      <c r="B12" s="18">
        <f>-Assumptions!B30</f>
        <v>-383200000</v>
      </c>
    </row>
    <row r="13" spans="1:2" x14ac:dyDescent="0.25">
      <c r="A13" t="s">
        <v>64</v>
      </c>
      <c r="B13" s="18">
        <f>B11+B12</f>
        <v>3535083645.6205893</v>
      </c>
    </row>
    <row r="14" spans="1:2" x14ac:dyDescent="0.25">
      <c r="A14" s="19" t="s">
        <v>65</v>
      </c>
      <c r="B14" s="24">
        <f>B13/Assumptions!B31</f>
        <v>26.25224162193895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547692597.7252421</v>
      </c>
    </row>
    <row r="18" spans="1:2" x14ac:dyDescent="0.25">
      <c r="A18" t="s">
        <v>60</v>
      </c>
      <c r="B18" s="18">
        <f>B17*Assumptions!B13</f>
        <v>10953851954.504843</v>
      </c>
    </row>
    <row r="19" spans="1:2" x14ac:dyDescent="0.25">
      <c r="A19" t="s">
        <v>61</v>
      </c>
      <c r="B19" s="18">
        <f>B18/(1+Assumptions!B26)^(5-0.5*Assumptions!B32)</f>
        <v>7305149684.196724</v>
      </c>
    </row>
    <row r="20" spans="1:2" x14ac:dyDescent="0.25">
      <c r="A20" t="s">
        <v>62</v>
      </c>
      <c r="B20" s="18">
        <f>Forecast!B17+B19</f>
        <v>8441345920.917839</v>
      </c>
    </row>
    <row r="21" spans="1:2" x14ac:dyDescent="0.25">
      <c r="A21" t="s">
        <v>63</v>
      </c>
      <c r="B21" s="18">
        <f>-Assumptions!B30</f>
        <v>-383200000</v>
      </c>
    </row>
    <row r="22" spans="1:2" x14ac:dyDescent="0.25">
      <c r="A22" t="s">
        <v>64</v>
      </c>
      <c r="B22" s="18">
        <f>B20+B21</f>
        <v>8058145920.917839</v>
      </c>
    </row>
    <row r="23" spans="1:2" x14ac:dyDescent="0.25">
      <c r="A23" s="19" t="s">
        <v>65</v>
      </c>
      <c r="B23" s="25">
        <f>B22/Assumptions!B31</f>
        <v>59.841411108573624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7320</v>
      </c>
    </row>
    <row r="27" spans="1:3" x14ac:dyDescent="0.25">
      <c r="A27" t="s">
        <v>70</v>
      </c>
      <c r="B27" s="27">
        <v>100</v>
      </c>
      <c r="C27" s="8" t="s">
        <v>71</v>
      </c>
    </row>
    <row r="28" spans="1:2" x14ac:dyDescent="0.25">
      <c r="A28" t="s">
        <v>72</v>
      </c>
      <c r="B28" s="28">
        <f>B14*B27</f>
        <v>2625.224162193895</v>
      </c>
    </row>
    <row r="29" spans="1:2" x14ac:dyDescent="0.25">
      <c r="A29" s="19" t="s">
        <v>73</v>
      </c>
      <c r="B29" s="12">
        <f>B28/B26-1</f>
        <v>-0.6413628193724187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0.074201</v>
      </c>
      <c r="B5" s="31">
        <v>34.90766337819503</v>
      </c>
      <c r="C5" s="31">
        <v>36.129488101498794</v>
      </c>
      <c r="D5" s="31">
        <v>37.58236987737798</v>
      </c>
      <c r="E5" s="31">
        <v>39.34471995871448</v>
      </c>
      <c r="F5" s="31">
        <v>41.53495431912785</v>
      </c>
    </row>
    <row r="6" spans="1:6" x14ac:dyDescent="0.25">
      <c r="A6" s="30">
        <v>0.084201</v>
      </c>
      <c r="B6" s="31">
        <v>29.509433658188964</v>
      </c>
      <c r="C6" s="31">
        <v>30.18686077098242</v>
      </c>
      <c r="D6" s="31">
        <v>30.964944573178755</v>
      </c>
      <c r="E6" s="31">
        <v>31.87154156818277</v>
      </c>
      <c r="F6" s="31">
        <v>32.94583181111765</v>
      </c>
    </row>
    <row r="7" spans="1:6" x14ac:dyDescent="0.25">
      <c r="A7" s="30">
        <v>0.094201</v>
      </c>
      <c r="B7" s="31">
        <v>25.472786232910337</v>
      </c>
      <c r="C7" s="31">
        <v>25.841604345886676</v>
      </c>
      <c r="D7" s="32">
        <v>26.252414398352123</v>
      </c>
      <c r="E7" s="31">
        <v>26.71502743830182</v>
      </c>
      <c r="F7" s="31">
        <v>27.242569000984588</v>
      </c>
    </row>
    <row r="8" spans="1:6" x14ac:dyDescent="0.25">
      <c r="A8" s="30">
        <v>0.104201</v>
      </c>
      <c r="B8" s="31">
        <v>22.33994837833212</v>
      </c>
      <c r="C8" s="31">
        <v>22.52488766169637</v>
      </c>
      <c r="D8" s="31">
        <v>22.723696413052778</v>
      </c>
      <c r="E8" s="31">
        <v>22.939178395421838</v>
      </c>
      <c r="F8" s="31">
        <v>23.174947696247216</v>
      </c>
    </row>
    <row r="9" spans="1:6" x14ac:dyDescent="0.25">
      <c r="A9" s="30">
        <v>0.114201</v>
      </c>
      <c r="B9" s="31">
        <v>19.83868187629885</v>
      </c>
      <c r="C9" s="31">
        <v>19.9107567205641</v>
      </c>
      <c r="D9" s="31">
        <v>19.982831564829347</v>
      </c>
      <c r="E9" s="31">
        <v>20.0549064090946</v>
      </c>
      <c r="F9" s="31">
        <v>20.126981253359844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1524500000</v>
      </c>
      <c r="C5" s="18">
        <v>1363400000</v>
      </c>
      <c r="D5" s="18">
        <v>1200300000</v>
      </c>
      <c r="E5" s="18">
        <v>1012800000</v>
      </c>
      <c r="F5" s="8" t="s">
        <v>84</v>
      </c>
    </row>
    <row r="6" spans="1:6" x14ac:dyDescent="0.25">
      <c r="A6" t="s">
        <v>44</v>
      </c>
      <c r="B6" s="18">
        <v>284900000</v>
      </c>
      <c r="C6" s="18">
        <v>206800000</v>
      </c>
      <c r="D6" s="18">
        <v>185800000</v>
      </c>
      <c r="E6" s="18">
        <v>144300000</v>
      </c>
      <c r="F6" s="8" t="s">
        <v>85</v>
      </c>
    </row>
    <row r="7" spans="1:6" x14ac:dyDescent="0.25">
      <c r="A7" t="s">
        <v>86</v>
      </c>
      <c r="B7" s="18">
        <v>30500000</v>
      </c>
      <c r="C7" s="18">
        <v>32200000</v>
      </c>
      <c r="D7" s="18">
        <v>28600000</v>
      </c>
      <c r="E7" s="18">
        <v>23900000</v>
      </c>
      <c r="F7" s="8" t="s">
        <v>87</v>
      </c>
    </row>
    <row r="8" spans="1:6" x14ac:dyDescent="0.25">
      <c r="A8" t="s">
        <v>88</v>
      </c>
      <c r="B8" s="18">
        <v>14400000</v>
      </c>
      <c r="C8" s="18">
        <v>19700000</v>
      </c>
      <c r="D8" s="18">
        <v>23100000</v>
      </c>
      <c r="E8" s="18">
        <v>15400000</v>
      </c>
      <c r="F8" s="8" t="s">
        <v>89</v>
      </c>
    </row>
    <row r="9" spans="1:6" x14ac:dyDescent="0.25">
      <c r="A9" t="s">
        <v>90</v>
      </c>
      <c r="B9" s="18">
        <v>4600000</v>
      </c>
      <c r="C9" s="18">
        <v>8500000</v>
      </c>
      <c r="D9" s="18">
        <v>4200000</v>
      </c>
      <c r="E9" s="18">
        <v>28700000</v>
      </c>
      <c r="F9" s="8" t="s">
        <v>91</v>
      </c>
    </row>
    <row r="10" spans="1:6" x14ac:dyDescent="0.25">
      <c r="A10" t="s">
        <v>92</v>
      </c>
      <c r="B10" s="18">
        <v>464900000</v>
      </c>
      <c r="C10" s="18">
        <v>552100000</v>
      </c>
      <c r="D10" s="18">
        <v>397300000</v>
      </c>
      <c r="E10" s="18">
        <v>439700000</v>
      </c>
      <c r="F10" s="8" t="s">
        <v>93</v>
      </c>
    </row>
    <row r="11" spans="1:6" x14ac:dyDescent="0.25">
      <c r="A11" t="s">
        <v>94</v>
      </c>
      <c r="B11" s="18">
        <v>81700000</v>
      </c>
      <c r="C11" s="18">
        <v>55500000</v>
      </c>
      <c r="D11" s="18">
        <v>62400000</v>
      </c>
      <c r="E11" s="18">
        <v>41700000</v>
      </c>
      <c r="F11" s="8" t="s">
        <v>95</v>
      </c>
    </row>
    <row r="12" spans="1:6" x14ac:dyDescent="0.25">
      <c r="A12" t="s">
        <v>32</v>
      </c>
      <c r="B12" s="34">
        <v>134658354</v>
      </c>
      <c r="C12" s="34">
        <v>134494807</v>
      </c>
      <c r="D12" s="34">
        <v>130260868</v>
      </c>
      <c r="E12" s="34">
        <v>124855007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38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2026-09-19T00:06:39Z</dcterms:modified>
</cp:coreProperties>
</file>