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<sst xmlns="http://schemas.openxmlformats.org/spreadsheetml/2006/main" count="112" uniqueCount="100">
  <si>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Domino's Pizza, Inc. (DPZ)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</si>
  <si>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</si>
  <si>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</si>
  <si>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</si>
  <si>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</si>
  <si>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</si>
  <si>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</si>
  <si>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</si>
  <si>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</si>
  <si>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</si>
  <si>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</si>
  <si>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</si>
  <si>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</si>
  <si>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</si>
  <si>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</si>
  <si>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</si>
  <si>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</si>
  <si>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</si>
  <si>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</si>
  <si>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</si>
  <si>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</si>
  <si>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</si>
  <si>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</si>
  <si>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</si>
  <si>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</si>
  <si>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</si>
  <si>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</si>
  <si>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</si>
  <si>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</si>
  <si>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</si>
  <si>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</si>
  <si>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</si>
  <si>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</si>
  <si>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</si>
  <si>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</si>
  <si>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</si>
  <si>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</si>
  <si>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</si>
  <si>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</si>
  <si>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</si>
  <si>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</si>
  <si>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</si>
  <si>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</si>
  <si>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</si>
  <si>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</si>
  <si>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</si>
  <si>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</si>
  <si>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</si>
  <si>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</si>
  <si>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</si>
  <si>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</si>
  <si>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</si>
  <si>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</si>
  <si>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</si>
  <si>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</si>
  <si>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</si>
  <si>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</si>
  <si>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</si>
  <si>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</si>
  <si>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</si>
  <si>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</si>
  <si>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</si>
  <si>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</si>
  <si>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</si>
  <si>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</si>
  <si>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</si>
  <si>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</si>
  <si>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</si>
  <si>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</si>
  <si>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</si>
  <si>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</si>
  <si>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</si>
  <si>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</si>
  <si>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</si>
  <si>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</si>
  <si>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</si>
  <si>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</si>
  <si>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</si>
  <si>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</si>
  <si>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</si>
  <si>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</si>
  <si>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</si>
  <si>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</si>
  <si>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</si>
  <si>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</si>
  <si>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</si>
  <si>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</si>
  <si>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</si>
  <si>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</si>
  <si>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</si>
  <si>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</si>
  <si>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</si>
  <si>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</si>
  <si>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</si>
  <si>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</si>
  <si>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</si>
  <si>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</si>
  <si>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</si>
  <si>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2.3% of revenue against depreciation of 1.8%.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</si>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</sst>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0.02876024391390608</v>
      </c>
    </row>
    <row r="7" spans="1:2" x14ac:dyDescent="0.25">
      <c r="A7" t="s">
        <v>5</v>
      </c>
      <c r="B7" s="6">
        <v>0.18166758818397802</v>
      </c>
    </row>
    <row r="8" spans="1:2" x14ac:dyDescent="0.25">
      <c r="A8" t="s">
        <v>6</v>
      </c>
      <c r="B8" s="6">
        <v>0.207411943373346</v>
      </c>
    </row>
    <row r="9" spans="1:2" x14ac:dyDescent="0.25">
      <c r="A9" t="s">
        <v>7</v>
      </c>
      <c r="B9" s="6">
        <v>0.018078053955024577</v>
      </c>
    </row>
    <row r="10" spans="1:2" x14ac:dyDescent="0.25">
      <c r="A10" t="s">
        <v>8</v>
      </c>
      <c r="B10" s="6">
        <v>0.022786415859907674</v>
      </c>
    </row>
    <row r="11" spans="1:2" x14ac:dyDescent="0.25">
      <c r="A11" t="s">
        <v>9</v>
      </c>
      <c r="B11" s="6">
        <v>-0.2258389060613585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14.108237229885644</v>
      </c>
    </row>
    <row r="14" spans="1:3" x14ac:dyDescent="0.25">
      <c r="A14" t="s">
        <v>12</v>
      </c>
      <c r="B14" s="6">
        <v>0.6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0.96382</v>
      </c>
      <c r="C19" s="8" t="s">
        <v>19</v>
      </c>
    </row>
    <row r="20" spans="1:2" x14ac:dyDescent="0.25">
      <c r="A20" t="s">
        <v>20</v>
      </c>
      <c r="B20" s="10">
        <f>B17+B19*B18</f>
        <v>0.1029901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9732646912</v>
      </c>
    </row>
    <row r="23" spans="1:2" x14ac:dyDescent="0.25">
      <c r="A23" t="s">
        <v>24</v>
      </c>
      <c r="B23" s="11">
        <v>5048284000</v>
      </c>
    </row>
    <row r="24" spans="1:2" x14ac:dyDescent="0.25">
      <c r="A24" t="s">
        <v>25</v>
      </c>
      <c r="B24" s="10">
        <f>B22/(B22+B23)</f>
        <v>0.6584596714472486</v>
      </c>
    </row>
    <row r="25" spans="1:2" x14ac:dyDescent="0.25">
      <c r="A25" t="s">
        <v>26</v>
      </c>
      <c r="B25" s="10">
        <f>1-B24</f>
        <v>0.3415403285527514</v>
      </c>
    </row>
    <row r="26" spans="1:2" x14ac:dyDescent="0.25">
      <c r="A26" t="s">
        <v>27</v>
      </c>
      <c r="B26" s="12">
        <f>B24*B20+B25*B21*(1-B8)</f>
        <v>0.08134445265597663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4939994000</v>
      </c>
      <c r="C29" s="8" t="s">
        <v>30</v>
      </c>
    </row>
    <row r="30" spans="1:2" x14ac:dyDescent="0.25">
      <c r="A30" t="s">
        <v>31</v>
      </c>
      <c r="B30" s="11">
        <v>4922609000</v>
      </c>
    </row>
    <row r="31" spans="1:2" x14ac:dyDescent="0.25">
      <c r="A31" t="s">
        <v>32</v>
      </c>
      <c r="B31" s="13">
        <v>34237646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0.02876024391390608</v>
      </c>
      <c r="C5" s="10">
        <f>Assumptions!B6</f>
        <v>0.02876024391390608</v>
      </c>
      <c r="D5" s="10">
        <f>Assumptions!B6</f>
        <v>0.02876024391390608</v>
      </c>
      <c r="E5" s="10">
        <f>Assumptions!B6</f>
        <v>0.02876024391390608</v>
      </c>
      <c r="F5" s="10">
        <f>Assumptions!B6</f>
        <v>0.02876024391390608</v>
      </c>
    </row>
    <row r="6" spans="1:6" x14ac:dyDescent="0.25">
      <c r="A6" t="s">
        <v>43</v>
      </c>
      <c r="B6" s="18">
        <f>Assumptions!B29*(1+B5)</f>
        <v>5082069432.373233</v>
      </c>
      <c r="C6" s="18">
        <f>B6*(1+C5)</f>
        <v>5228230988.835693</v>
      </c>
      <c r="D6" s="18">
        <f>C6*(1+D5)</f>
        <v>5378596187.31285</v>
      </c>
      <c r="E6" s="18">
        <f>D6*(1+E5)</f>
        <v>5533285925.574373</v>
      </c>
      <c r="F6" s="18">
        <f>E6*(1+F5)</f>
        <v>5692424578.439276</v>
      </c>
    </row>
    <row r="7" spans="1:6" x14ac:dyDescent="0.25">
      <c r="A7" t="s">
        <v>5</v>
      </c>
      <c r="B7" s="10">
        <f>Assumptions!B7</f>
        <v>0.18166758818397802</v>
      </c>
      <c r="C7" s="10">
        <f>Assumptions!B7</f>
        <v>0.18166758818397802</v>
      </c>
      <c r="D7" s="10">
        <f>Assumptions!B7</f>
        <v>0.18166758818397802</v>
      </c>
      <c r="E7" s="10">
        <f>Assumptions!B7</f>
        <v>0.18166758818397802</v>
      </c>
      <c r="F7" s="10">
        <f>Assumptions!B7</f>
        <v>0.18166758818397802</v>
      </c>
    </row>
    <row r="8" spans="1:6" x14ac:dyDescent="0.25">
      <c r="A8" t="s">
        <v>44</v>
      </c>
      <c r="B8" s="18">
        <f>B6*B7</f>
        <v>923247296.7627634</v>
      </c>
      <c r="C8" s="18">
        <f>C6*C7</f>
        <v>949800114.2105149</v>
      </c>
      <c r="D8" s="18">
        <f>D6*D7</f>
        <v>977116597.1646651</v>
      </c>
      <c r="E8" s="18">
        <f>E6*E7</f>
        <v>1005218708.8314469</v>
      </c>
      <c r="F8" s="18">
        <f>F6*F7</f>
        <v>1034129044.0842611</v>
      </c>
    </row>
    <row r="9" spans="1:6" x14ac:dyDescent="0.25">
      <c r="A9" t="s">
        <v>45</v>
      </c>
      <c r="B9" s="18">
        <f>B8*(1-Assumptions!B8)</f>
        <v>731754780.7270104</v>
      </c>
      <c r="C9" s="18">
        <f>C8*(1-Assumptions!B8)</f>
        <v>752800226.705886</v>
      </c>
      <c r="D9" s="18">
        <f>D8*(1-Assumptions!B8)</f>
        <v>774450944.844391</v>
      </c>
      <c r="E9" s="18">
        <f>E8*(1-Assumptions!B8)</f>
        <v>796724342.9174708</v>
      </c>
      <c r="F9" s="18">
        <f>F8*(1-Assumptions!B8)</f>
        <v>819638329.3519238</v>
      </c>
    </row>
    <row r="10" spans="1:6" x14ac:dyDescent="0.25">
      <c r="A10" t="s">
        <v>46</v>
      </c>
      <c r="B10" s="18">
        <f>B6*Assumptions!B9</f>
        <v>91873925.40162443</v>
      </c>
      <c r="C10" s="18">
        <f>C6*Assumptions!B9</f>
        <v>94516241.90550315</v>
      </c>
      <c r="D10" s="18">
        <f>D6*Assumptions!B9</f>
        <v>97234552.07653117</v>
      </c>
      <c r="E10" s="18">
        <f>E6*Assumptions!B9</f>
        <v>100031041.51111163</v>
      </c>
      <c r="F10" s="18">
        <f>F6*Assumptions!B9</f>
        <v>102907958.66393326</v>
      </c>
    </row>
    <row r="11" spans="1:6" x14ac:dyDescent="0.25">
      <c r="A11" t="s">
        <v>47</v>
      </c>
      <c r="B11" s="18">
        <f>-B6*Assumptions!B10</f>
        <v>-115802147.51498142</v>
      </c>
      <c r="C11" s="18">
        <f>-C6*Assumptions!B10</f>
        <v>-119132645.52326642</v>
      </c>
      <c r="D11" s="18">
        <f>-D6*Assumptions!B10</f>
        <v>-122558929.46662447</v>
      </c>
      <c r="E11" s="18">
        <f>-E6*Assumptions!B10</f>
        <v>-126083754.1719118</v>
      </c>
      <c r="F11" s="18">
        <f>-F6*Assumptions!B10</f>
        <v>-129709953.69547696</v>
      </c>
    </row>
    <row r="12" spans="1:6" x14ac:dyDescent="0.25">
      <c r="A12" t="s">
        <v>48</v>
      </c>
      <c r="B12" s="18">
        <f>-(B6-Assumptions!B29)*Assumptions!B11</f>
        <v>32086160.225365426</v>
      </c>
      <c r="C12" s="18">
        <f>-(C6-B6)*Assumptions!B11</f>
        <v>33008966.019707568</v>
      </c>
      <c r="D12" s="18">
        <f>-(D6-C6)*Assumptions!B11</f>
        <v>33958311.933780104</v>
      </c>
      <c r="E12" s="18">
        <f>-(E6-D6)*Assumptions!B11</f>
        <v>34934961.26790028</v>
      </c>
      <c r="F12" s="18">
        <f>-(F6-E6)*Assumptions!B11</f>
        <v>35939699.275087856</v>
      </c>
    </row>
    <row r="13" spans="1:6" x14ac:dyDescent="0.25">
      <c r="A13" s="19" t="s">
        <v>49</v>
      </c>
      <c r="B13" s="20">
        <f>B9+B10+B11+B12</f>
        <v>739912718.8390188</v>
      </c>
      <c r="C13" s="20">
        <f>C9+C10+C11+C12</f>
        <v>761192789.1078303</v>
      </c>
      <c r="D13" s="20">
        <f>D9+D10+D11+D12</f>
        <v>783084879.3880777</v>
      </c>
      <c r="E13" s="20">
        <f>E9+E10+E11+E12</f>
        <v>805606591.5245708</v>
      </c>
      <c r="F13" s="20">
        <f>F9+F10+F11+F12</f>
        <v>828776033.5954679</v>
      </c>
    </row>
    <row r="14" spans="1:6" x14ac:dyDescent="0.25">
      <c r="A14" t="s">
        <v>50</v>
      </c>
      <c r="B14" s="21">
        <f>1/(1+Assumptions!$B$26)^(1-0.5*Assumptions!$B$32)</f>
        <v>0.961652071999888</v>
      </c>
      <c r="C14" s="21">
        <f>1/(1+Assumptions!$B$26)^(2-0.5*Assumptions!$B$32)</f>
        <v>0.8893115136790108</v>
      </c>
      <c r="D14" s="21">
        <f>1/(1+Assumptions!$B$26)^(3-0.5*Assumptions!$B$32)</f>
        <v>0.8224127950115263</v>
      </c>
      <c r="E14" s="21">
        <f>1/(1+Assumptions!$B$26)^(4-0.5*Assumptions!$B$32)</f>
        <v>0.7605465520182144</v>
      </c>
      <c r="F14" s="21">
        <f>1/(1+Assumptions!$B$26)^(5-0.5*Assumptions!$B$32)</f>
        <v>0.7033342152448975</v>
      </c>
    </row>
    <row r="15" spans="1:6" x14ac:dyDescent="0.25">
      <c r="A15" s="19" t="s">
        <v>51</v>
      </c>
      <c r="B15" s="20">
        <f>B13*B14</f>
        <v>711538599.170613</v>
      </c>
      <c r="C15" s="20">
        <f>C13*C14</f>
        <v>676937511.4830326</v>
      </c>
      <c r="D15" s="20">
        <f>D13*D14</f>
        <v>644019024.388813</v>
      </c>
      <c r="E15" s="20">
        <f>E13*E14</f>
        <v>612701315.4671584</v>
      </c>
      <c r="F15" s="20">
        <f>F13*F14</f>
        <v>582906541.2026472</v>
      </c>
    </row>
    <row r="17" spans="1:2" x14ac:dyDescent="0.25">
      <c r="A17" s="22" t="s">
        <v>52</v>
      </c>
      <c r="B17" s="23">
        <f>SUM(B15:F15)</f>
        <v>3228102991.712264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828776033.5954679</v>
      </c>
    </row>
    <row r="5" spans="1:2" x14ac:dyDescent="0.25">
      <c r="A5" t="s">
        <v>56</v>
      </c>
      <c r="B5" s="18">
        <f>IF(Assumptions!$B$33=0,B4,B4-Forecast!F11-Forecast!F10-Forecast!F12)</f>
        <v>819638329.3519238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0.04166666666666667</v>
      </c>
    </row>
    <row r="7" spans="1:2" x14ac:dyDescent="0.25">
      <c r="A7" t="s">
        <v>58</v>
      </c>
      <c r="B7" s="18">
        <f>-MAX(Forecast!F9,0)*B6</f>
        <v>-34151597.05633017</v>
      </c>
    </row>
    <row r="8" spans="1:2" x14ac:dyDescent="0.25">
      <c r="A8" t="s">
        <v>59</v>
      </c>
      <c r="B8" s="18">
        <f>IF(OR(Assumptions!$B$33=0,Assumptions!B12&lt;=0),B5,MAX(B5+B7,0))</f>
        <v>785486732.2955936</v>
      </c>
    </row>
    <row r="9" spans="1:2" x14ac:dyDescent="0.25">
      <c r="A9" t="s">
        <v>60</v>
      </c>
      <c r="B9" s="18">
        <f>B8*(1+Assumptions!B12)/(Assumptions!B26-Assumptions!B12)</f>
        <v>14289319758.21725</v>
      </c>
    </row>
    <row r="10" spans="1:2" x14ac:dyDescent="0.25">
      <c r="A10" t="s">
        <v>61</v>
      </c>
      <c r="B10" s="18">
        <f>B9/(1+Assumptions!B26)^(5-0.5*Assumptions!B32)</f>
        <v>10050167498.529139</v>
      </c>
    </row>
    <row r="11" spans="1:2" x14ac:dyDescent="0.25">
      <c r="A11" t="s">
        <v>62</v>
      </c>
      <c r="B11" s="18">
        <f>Forecast!B17+B10</f>
        <v>13278270490.241402</v>
      </c>
    </row>
    <row r="12" spans="1:2" x14ac:dyDescent="0.25">
      <c r="A12" t="s">
        <v>63</v>
      </c>
      <c r="B12" s="18">
        <f>-Assumptions!B30</f>
        <v>-4922609000</v>
      </c>
    </row>
    <row r="13" spans="1:2" x14ac:dyDescent="0.25">
      <c r="A13" t="s">
        <v>64</v>
      </c>
      <c r="B13" s="18">
        <f>B11+B12</f>
        <v>8355661490.241402</v>
      </c>
    </row>
    <row r="14" spans="1:2" x14ac:dyDescent="0.25">
      <c r="A14" s="19" t="s">
        <v>65</v>
      </c>
      <c r="B14" s="24">
        <f>B13/Assumptions!B31</f>
        <v>244.04894805680863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1137037002.7481942</v>
      </c>
    </row>
    <row r="18" spans="1:2" x14ac:dyDescent="0.25">
      <c r="A18" t="s">
        <v>60</v>
      </c>
      <c r="B18" s="18">
        <f>B17*Assumptions!B13</f>
        <v>16041587773.929659</v>
      </c>
    </row>
    <row r="19" spans="1:2" x14ac:dyDescent="0.25">
      <c r="A19" t="s">
        <v>61</v>
      </c>
      <c r="B19" s="18">
        <f>B18/(1+Assumptions!B26)^(5-0.5*Assumptions!B32)</f>
        <v>11282597548.258959</v>
      </c>
    </row>
    <row r="20" spans="1:2" x14ac:dyDescent="0.25">
      <c r="A20" t="s">
        <v>62</v>
      </c>
      <c r="B20" s="18">
        <f>Forecast!B17+B19</f>
        <v>14510700539.971222</v>
      </c>
    </row>
    <row r="21" spans="1:2" x14ac:dyDescent="0.25">
      <c r="A21" t="s">
        <v>63</v>
      </c>
      <c r="B21" s="18">
        <f>-Assumptions!B30</f>
        <v>-4922609000</v>
      </c>
    </row>
    <row r="22" spans="1:2" x14ac:dyDescent="0.25">
      <c r="A22" t="s">
        <v>64</v>
      </c>
      <c r="B22" s="18">
        <f>B20+B21</f>
        <v>9588091539.971222</v>
      </c>
    </row>
    <row r="23" spans="1:2" x14ac:dyDescent="0.25">
      <c r="A23" s="19" t="s">
        <v>65</v>
      </c>
      <c r="B23" s="25">
        <f>B22/Assumptions!B31</f>
        <v>280.04529108021103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294.2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244.04894805680863</v>
      </c>
    </row>
    <row r="29" spans="1:2" x14ac:dyDescent="0.25">
      <c r="A29" s="19" t="s">
        <v>73</v>
      </c>
      <c r="B29" s="12">
        <f>B28/B26-1</f>
        <v>-0.1704658461699231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0.061344</v>
      </c>
      <c r="B5" s="31">
        <v>345.92256655129245</v>
      </c>
      <c r="C5" s="31">
        <v>391.61024808520204</v>
      </c>
      <c r="D5" s="31">
        <v>449.82683977071656</v>
      </c>
      <c r="E5" s="31">
        <v>526.5681829897298</v>
      </c>
      <c r="F5" s="31">
        <v>632.3820788735234</v>
      </c>
    </row>
    <row r="6" spans="1:6" x14ac:dyDescent="0.25">
      <c r="A6" s="30">
        <v>0.071344</v>
      </c>
      <c r="B6" s="31">
        <v>261.0044324633745</v>
      </c>
      <c r="C6" s="31">
        <v>289.79394165078077</v>
      </c>
      <c r="D6" s="31">
        <v>324.76401465634405</v>
      </c>
      <c r="E6" s="31">
        <v>368.1570193513968</v>
      </c>
      <c r="F6" s="31">
        <v>423.44929227958664</v>
      </c>
    </row>
    <row r="7" spans="1:6" x14ac:dyDescent="0.25">
      <c r="A7" s="30">
        <v>0.081344</v>
      </c>
      <c r="B7" s="31">
        <v>201.6673005424467</v>
      </c>
      <c r="C7" s="31">
        <v>221.14372896485744</v>
      </c>
      <c r="D7" s="32">
        <v>244.05195400285103</v>
      </c>
      <c r="E7" s="31">
        <v>271.39456503851227</v>
      </c>
      <c r="F7" s="31">
        <v>304.6068242409462</v>
      </c>
    </row>
    <row r="8" spans="1:6" x14ac:dyDescent="0.25">
      <c r="A8" s="30">
        <v>0.091344</v>
      </c>
      <c r="B8" s="31">
        <v>157.85968192304387</v>
      </c>
      <c r="C8" s="31">
        <v>171.71458571577986</v>
      </c>
      <c r="D8" s="31">
        <v>187.63754144709324</v>
      </c>
      <c r="E8" s="31">
        <v>206.13423474359263</v>
      </c>
      <c r="F8" s="31">
        <v>227.88985060239884</v>
      </c>
    </row>
    <row r="9" spans="1:6" x14ac:dyDescent="0.25">
      <c r="A9" s="30">
        <v>0.101344</v>
      </c>
      <c r="B9" s="31">
        <v>124.18652592991296</v>
      </c>
      <c r="C9" s="31">
        <v>134.4187242660741</v>
      </c>
      <c r="D9" s="31">
        <v>145.9742737555616</v>
      </c>
      <c r="E9" s="31">
        <v>159.13140756864772</v>
      </c>
      <c r="F9" s="31">
        <v>174.25223478609317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4939994000</v>
      </c>
      <c r="C5" s="18">
        <v>4706416000</v>
      </c>
      <c r="D5" s="18">
        <v>4479358000</v>
      </c>
      <c r="E5" s="18">
        <v>4537158000</v>
      </c>
      <c r="F5" s="8" t="s">
        <v>84</v>
      </c>
    </row>
    <row r="6" spans="1:6" x14ac:dyDescent="0.25">
      <c r="A6" t="s">
        <v>44</v>
      </c>
      <c r="B6" s="18">
        <v>949946000</v>
      </c>
      <c r="C6" s="18">
        <v>879157000</v>
      </c>
      <c r="D6" s="18">
        <v>819668000</v>
      </c>
      <c r="E6" s="18">
        <v>746752000</v>
      </c>
      <c r="F6" s="8" t="s">
        <v>85</v>
      </c>
    </row>
    <row r="7" spans="1:6" x14ac:dyDescent="0.25">
      <c r="A7" t="s">
        <v>86</v>
      </c>
      <c r="B7" s="18">
        <v>88827000</v>
      </c>
      <c r="C7" s="18">
        <v>87732000</v>
      </c>
      <c r="D7" s="18">
        <v>80640000</v>
      </c>
      <c r="E7" s="18">
        <v>80251000</v>
      </c>
      <c r="F7" s="8" t="s">
        <v>87</v>
      </c>
    </row>
    <row r="8" spans="1:6" x14ac:dyDescent="0.25">
      <c r="A8" t="s">
        <v>88</v>
      </c>
      <c r="B8" s="18">
        <v>120558000</v>
      </c>
      <c r="C8" s="18">
        <v>112885000</v>
      </c>
      <c r="D8" s="18">
        <v>105396000</v>
      </c>
      <c r="E8" s="18">
        <v>87234000</v>
      </c>
      <c r="F8" s="8" t="s">
        <v>89</v>
      </c>
    </row>
    <row r="9" spans="1:6" x14ac:dyDescent="0.25">
      <c r="A9" t="s">
        <v>90</v>
      </c>
      <c r="B9" s="18">
        <v>-52751000</v>
      </c>
      <c r="C9" s="18">
        <v>44012000</v>
      </c>
      <c r="D9" s="18">
        <v>14244000</v>
      </c>
      <c r="E9" s="18">
        <v>73811000</v>
      </c>
      <c r="F9" s="8" t="s">
        <v>91</v>
      </c>
    </row>
    <row r="10" spans="1:6" x14ac:dyDescent="0.25">
      <c r="A10" t="s">
        <v>92</v>
      </c>
      <c r="B10" s="18">
        <v>5048284000</v>
      </c>
      <c r="C10" s="18">
        <v>5197241000</v>
      </c>
      <c r="D10" s="18">
        <v>5209306000</v>
      </c>
      <c r="E10" s="18">
        <v>5252354000</v>
      </c>
      <c r="F10" s="8" t="s">
        <v>93</v>
      </c>
    </row>
    <row r="11" spans="1:6" x14ac:dyDescent="0.25">
      <c r="A11" t="s">
        <v>94</v>
      </c>
      <c r="B11" s="18">
        <v>125675000</v>
      </c>
      <c r="C11" s="18">
        <v>186126000</v>
      </c>
      <c r="D11" s="18">
        <v>114098000</v>
      </c>
      <c r="E11" s="18">
        <v>60356000</v>
      </c>
      <c r="F11" s="8" t="s">
        <v>95</v>
      </c>
    </row>
    <row r="12" spans="1:6" x14ac:dyDescent="0.25">
      <c r="A12" t="s">
        <v>32</v>
      </c>
      <c r="B12" s="34">
        <v>34237646</v>
      </c>
      <c r="C12" s="34">
        <v>34991484</v>
      </c>
      <c r="D12" s="34">
        <v>35401313</v>
      </c>
      <c r="E12" s="34">
        <v>36093754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2026-09-19T00:06:28Z</dcterms:modified>
</cp:coreProperties>
</file>