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<sst xmlns="http://schemas.openxmlformats.org/spreadsheetml/2006/main" count="120" uniqueCount="107">
  <si>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Domino's Pizza, Inc. (DPZ)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</si>
  <si>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</si>
  <si>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</si>
  <si>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</si>
  <si>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</si>
  <si>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</si>
  <si>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</si>
  <si>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</si>
  <si>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</si>
  <si>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</si>
  <si>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</si>
  <si>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</si>
  <si>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</si>
  <si>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</si>
  <si>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</si>
  <si>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</si>
  <si>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</si>
  <si>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</si>
  <si>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</si>
  <si>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</si>
  <si>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</si>
  <si>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</si>
  <si>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</si>
  <si>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</si>
  <si>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4.8x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</si>
  <si>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</si>
  <si>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</si>
  <si>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</si>
  <si>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</si>
  <si>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</si>
  <si>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</si>
  <si>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</si>
  <si>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</si>
  <si>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</si>
  <si>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</si>
  <si>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</si>
  <si>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</si>
  <si>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</si>
  <si>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</si>
  <si>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</si>
  <si>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</si>
  <si>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</si>
  <si>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</si>
  <si>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</si>
  <si>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</si>
  <si>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</si>
  <si>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</si>
  <si>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</si>
  <si>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</si>
  <si>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</si>
  <si>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</si>
  <si>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</si>
  <si>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</si>
  <si>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</si>
  <si>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</si>
  <si>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</si>
  <si>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</si>
  <si>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</si>
  <si>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</si>
  <si>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</si>
  <si>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</si>
  <si>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</si>
  <si>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</si>
  <si>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</si>
  <si>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</si>
  <si>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</si>
  <si>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</si>
  <si>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</si>
  <si>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</si>
  <si>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</si>
  <si>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</si>
  <si>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</si>
  <si>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</si>
  <si>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</si>
  <si>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</si>
  <si>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</si>
  <si>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</si>
  <si>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</si>
  <si>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</si>
  <si>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</si>
  <si>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</si>
  <si>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</si>
  <si>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</si>
  <si>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</si>
  <si>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</si>
  <si>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</si>
  <si>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</si>
  <si>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</si>
  <si>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</si>
  <si>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</si>
  <si>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</si>
  <si>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</si>
  <si>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</si>
  <si>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</si>
  <si>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</si>
  <si>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</si>
  <si>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</si>
  <si>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</si>
  <si>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</si>
  <si>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</si>
  <si>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</si>
  <si>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</si>
  <si>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</si>
  <si>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</si>
  <si>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</si>
  <si>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2.3% of revenue against depreciation of 1.8%.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</si>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</sst>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0.04995484002612138</v>
      </c>
    </row>
    <row r="7" spans="1:2" x14ac:dyDescent="0.25">
      <c r="A7" t="s">
        <v>4</v>
      </c>
      <c r="B7" s="5">
        <v>0.18166758818397802</v>
      </c>
    </row>
    <row r="8" spans="1:2" x14ac:dyDescent="0.25">
      <c r="A8" t="s">
        <v>5</v>
      </c>
      <c r="B8" s="5">
        <v>0.207411943373346</v>
      </c>
    </row>
    <row r="9" spans="1:2" x14ac:dyDescent="0.25">
      <c r="A9" t="s">
        <v>6</v>
      </c>
      <c r="B9" s="5">
        <v>0.018078053955024577</v>
      </c>
    </row>
    <row r="10" spans="1:3" x14ac:dyDescent="0.25">
      <c r="A10" t="s">
        <v>7</v>
      </c>
      <c r="B10" s="5">
        <v>0.022786415859907674</v>
      </c>
      <c r="C10" s="6" t="s">
        <v>8</v>
      </c>
    </row>
    <row r="11" spans="1:2" x14ac:dyDescent="0.25">
      <c r="A11" t="s">
        <v>9</v>
      </c>
      <c r="B11" s="5">
        <v>0.0564451988078999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14.673495387346417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0.018078053955024577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0.96717</v>
      </c>
      <c r="C19" s="6" t="s">
        <v>21</v>
      </c>
    </row>
    <row r="20" spans="1:2" x14ac:dyDescent="0.25">
      <c r="A20" t="s">
        <v>22</v>
      </c>
      <c r="B20" s="9">
        <f>B17+B19*B18</f>
        <v>0.089851291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10319821824</v>
      </c>
    </row>
    <row r="23" spans="1:2" x14ac:dyDescent="0.25">
      <c r="A23" t="s">
        <v>26</v>
      </c>
      <c r="B23" s="10">
        <v>5048284000</v>
      </c>
    </row>
    <row r="24" spans="1:2" x14ac:dyDescent="0.25">
      <c r="A24" t="s">
        <v>27</v>
      </c>
      <c r="B24" s="9">
        <f>B22/(B22+B23)</f>
        <v>0.6715090292964917</v>
      </c>
    </row>
    <row r="25" spans="1:2" x14ac:dyDescent="0.25">
      <c r="A25" t="s">
        <v>28</v>
      </c>
      <c r="B25" s="9">
        <f>1-B24</f>
        <v>0.3284909707035083</v>
      </c>
    </row>
    <row r="26" spans="1:2" x14ac:dyDescent="0.25">
      <c r="A26" t="s">
        <v>29</v>
      </c>
      <c r="B26" s="11">
        <f>B24*B20+B25*B21*(1-B8)</f>
        <v>0.0751086672603133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4939994000</v>
      </c>
      <c r="C29" s="6" t="s">
        <v>32</v>
      </c>
    </row>
    <row r="30" spans="1:2" x14ac:dyDescent="0.25">
      <c r="A30" t="s">
        <v>33</v>
      </c>
      <c r="B30" s="10">
        <v>4922609000</v>
      </c>
    </row>
    <row r="31" spans="1:2" x14ac:dyDescent="0.25">
      <c r="A31" t="s">
        <v>34</v>
      </c>
      <c r="B31" s="12">
        <v>34237646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0.04995484002612138</v>
      </c>
      <c r="C5" s="5">
        <v>0.01647479644371619</v>
      </c>
      <c r="D5" s="5">
        <v>0.017540446888251664</v>
      </c>
      <c r="E5" s="5">
        <v>0.01860609733278714</v>
      </c>
      <c r="F5" s="5">
        <v>0.01967174777732262</v>
      </c>
      <c r="G5" s="5">
        <v>0.020737398221858095</v>
      </c>
      <c r="H5" s="5">
        <v>0.02180304866639357</v>
      </c>
      <c r="I5" s="5">
        <v>0.02286869911092905</v>
      </c>
      <c r="J5" s="5">
        <v>0.023934349555464526</v>
      </c>
      <c r="K5" s="5">
        <v>0.025</v>
      </c>
    </row>
    <row r="6" spans="1:11" x14ac:dyDescent="0.25">
      <c r="A6" t="s">
        <v>50</v>
      </c>
      <c r="B6" s="18">
        <f>Assumptions!B29*(1+B5)</f>
        <v>5186770609.999999</v>
      </c>
      <c r="C6" s="18">
        <f>B6*(1+C5)</f>
        <v>5272221599.999999</v>
      </c>
      <c r="D6" s="18">
        <f>C6*(1+D5)</f>
        <v>5364698722.957892</v>
      </c>
      <c r="E6" s="18">
        <f>D6*(1+E5)</f>
        <v>5464514829.558326</v>
      </c>
      <c r="F6" s="18">
        <f>E6*(1+F5)</f>
        <v>5572011387.010837</v>
      </c>
      <c r="G6" s="18">
        <f>F6*(1+G5)</f>
        <v>5687560406.040009</v>
      </c>
      <c r="H6" s="18">
        <f>G6*(1+H5)</f>
        <v>5811566562.3659525</v>
      </c>
      <c r="I6" s="18">
        <f>H6*(1+I5)</f>
        <v>5944469529.443835</v>
      </c>
      <c r="J6" s="18">
        <f>I6*(1+J5)</f>
        <v>6086746541.083351</v>
      </c>
      <c r="K6" s="18">
        <f>J6*(1+K5)</f>
        <v>6238915204.610435</v>
      </c>
    </row>
    <row r="7" spans="1:11" x14ac:dyDescent="0.25">
      <c r="A7" t="s">
        <v>4</v>
      </c>
      <c r="B7" s="9">
        <f>Assumptions!B7</f>
        <v>0.18166758818397802</v>
      </c>
      <c r="C7" s="9">
        <f>Assumptions!B7</f>
        <v>0.18166758818397802</v>
      </c>
      <c r="D7" s="9">
        <f>Assumptions!B7</f>
        <v>0.18166758818397802</v>
      </c>
      <c r="E7" s="9">
        <f>Assumptions!B7</f>
        <v>0.18166758818397802</v>
      </c>
      <c r="F7" s="9">
        <f>Assumptions!B7</f>
        <v>0.18166758818397802</v>
      </c>
      <c r="G7" s="9">
        <f>Assumptions!B7</f>
        <v>0.18166758818397802</v>
      </c>
      <c r="H7" s="9">
        <f>Assumptions!B7</f>
        <v>0.18166758818397802</v>
      </c>
      <c r="I7" s="9">
        <f>Assumptions!B7</f>
        <v>0.18166758818397802</v>
      </c>
      <c r="J7" s="9">
        <f>Assumptions!B7</f>
        <v>0.18166758818397802</v>
      </c>
      <c r="K7" s="9">
        <f>Assumptions!B7</f>
        <v>0.18166758818397802</v>
      </c>
    </row>
    <row r="8" spans="1:11" x14ac:dyDescent="0.25">
      <c r="A8" t="s">
        <v>51</v>
      </c>
      <c r="B8" s="18">
        <f>B6*B7</f>
        <v>942268107.1822402</v>
      </c>
      <c r="C8" s="18">
        <f>C6*C7</f>
        <v>957791782.4434735</v>
      </c>
      <c r="D8" s="18">
        <f>D6*D7</f>
        <v>974591878.3334272</v>
      </c>
      <c r="E8" s="18">
        <f>E6*E7</f>
        <v>992725229.6814427</v>
      </c>
      <c r="F8" s="18">
        <f>F6*F7</f>
        <v>1012253870.0119208</v>
      </c>
      <c r="G8" s="18">
        <f>G6*G7</f>
        <v>1033245381.615975</v>
      </c>
      <c r="H8" s="18">
        <f>H6*H7</f>
        <v>1055773280.9556746</v>
      </c>
      <c r="I8" s="18">
        <f>I6*I7</f>
        <v>1079917442.4472082</v>
      </c>
      <c r="J8" s="18">
        <f>J6*J7</f>
        <v>1105764564.0057828</v>
      </c>
      <c r="K8" s="18">
        <f>K6*K7</f>
        <v>1133408678.1059275</v>
      </c>
    </row>
    <row r="9" spans="1:11" x14ac:dyDescent="0.25">
      <c r="A9" t="s">
        <v>52</v>
      </c>
      <c r="B9" s="18">
        <f>B8*(1-Assumptions!B8)</f>
        <v>746830447.8928475</v>
      </c>
      <c r="C9" s="18">
        <f>C8*(1-Assumptions!B8)</f>
        <v>759134327.4998516</v>
      </c>
      <c r="D9" s="18">
        <f>D8*(1-Assumptions!B8)</f>
        <v>772449882.8524115</v>
      </c>
      <c r="E9" s="18">
        <f>E8*(1-Assumptions!B8)</f>
        <v>786822160.5574634</v>
      </c>
      <c r="F9" s="18">
        <f>F8*(1-Assumptions!B8)</f>
        <v>802300327.6455579</v>
      </c>
      <c r="G9" s="18">
        <f>G8*(1-Assumptions!B8)</f>
        <v>818937949.0334711</v>
      </c>
      <c r="H9" s="18">
        <f>H8*(1-Assumptions!B8)</f>
        <v>836793292.9910046</v>
      </c>
      <c r="I9" s="18">
        <f>I8*(1-Assumptions!B8)</f>
        <v>855929667.0264592</v>
      </c>
      <c r="J9" s="18">
        <f>J8*(1-Assumptions!B8)</f>
        <v>876415786.8719628</v>
      </c>
      <c r="K9" s="18">
        <f>K8*(1-Assumptions!B8)</f>
        <v>898326181.5437618</v>
      </c>
    </row>
    <row r="10" spans="1:11" x14ac:dyDescent="0.25">
      <c r="A10" t="s">
        <v>53</v>
      </c>
      <c r="B10" s="18">
        <f>B6*Assumptions!B9</f>
        <v>93766718.93991572</v>
      </c>
      <c r="C10" s="18">
        <f>C6*Assumptions!B9</f>
        <v>95311506.54764599</v>
      </c>
      <c r="D10" s="18">
        <f>D6*Assumptions!B9</f>
        <v>96983312.96608423</v>
      </c>
      <c r="E10" s="18">
        <f>E6*Assumptions!B9</f>
        <v>98787793.92678735</v>
      </c>
      <c r="F10" s="18">
        <f>F6*Assumptions!B9</f>
        <v>100731122.49239324</v>
      </c>
      <c r="G10" s="18">
        <f>G6*Assumptions!B9</f>
        <v>102820023.89285277</v>
      </c>
      <c r="H10" s="18">
        <f>H6*Assumptions!B9</f>
        <v>105061813.8776684</v>
      </c>
      <c r="I10" s="18">
        <f>I6*Assumptions!B9</f>
        <v>107464440.88728522</v>
      </c>
      <c r="J10" s="18">
        <f>J6*Assumptions!B9</f>
        <v>110036532.38026404</v>
      </c>
      <c r="K10" s="18">
        <f>K6*Assumptions!B9</f>
        <v>112787445.68977064</v>
      </c>
    </row>
    <row r="11" spans="1:11" x14ac:dyDescent="0.25">
      <c r="A11" t="s">
        <v>54</v>
      </c>
      <c r="B11" s="18">
        <f>-B6*B19</f>
        <v>-118187912.08940698</v>
      </c>
      <c r="C11" s="18">
        <f>-C6*C19</f>
        <v>-120891374.95470098</v>
      </c>
      <c r="D11" s="18">
        <f>-D6*D19</f>
        <v>-123781471.32824911</v>
      </c>
      <c r="E11" s="18">
        <f>-E6*E19</f>
        <v>-126868488.45819288</v>
      </c>
      <c r="F11" s="18">
        <f>-F6*F19</f>
        <v>-130163561.6051869</v>
      </c>
      <c r="G11" s="18">
        <f>-G6*G19</f>
        <v>-133678739.86011803</v>
      </c>
      <c r="H11" s="18">
        <f>-H6*H19</f>
        <v>-137427058.2196195</v>
      </c>
      <c r="I11" s="18">
        <f>-I6*I19</f>
        <v>-141422616.5136253</v>
      </c>
      <c r="J11" s="18">
        <f>-J6*J19</f>
        <v>-145680665.84278664</v>
      </c>
      <c r="K11" s="18">
        <f>-K6*K19</f>
        <v>-150217703.25409403</v>
      </c>
    </row>
    <row r="12" spans="1:11" x14ac:dyDescent="0.25">
      <c r="A12" t="s">
        <v>55</v>
      </c>
      <c r="B12" s="18">
        <f>-(B6-Assumptions!B29)*Assumptions!B11</f>
        <v>-13929354.812589524</v>
      </c>
      <c r="C12" s="18">
        <f>-(C6-B6)*Assumptions!B11</f>
        <v>-4823298.118881866</v>
      </c>
      <c r="D12" s="18">
        <f>-(D6-C6)*Assumptions!B11</f>
        <v>-5219889.590540895</v>
      </c>
      <c r="E12" s="18">
        <f>-(E6-D6)*Assumptions!B11</f>
        <v>-5634139.98129199</v>
      </c>
      <c r="F12" s="18">
        <f>-(F6-E6)*Assumptions!B11</f>
        <v>-6067664.556571808</v>
      </c>
      <c r="G12" s="18">
        <f>-(G6-F6)*Assumptions!B11</f>
        <v>-6522187.351159419</v>
      </c>
      <c r="H12" s="18">
        <f>-(H6-G6)*Assumptions!B11</f>
        <v>-6999552.14722142</v>
      </c>
      <c r="I12" s="18">
        <f>-(I6-H6)*Assumptions!B11</f>
        <v>-7501734.398870869</v>
      </c>
      <c r="J12" s="18">
        <f>-(J6-I6)*Assumptions!B11</f>
        <v>-8030854.207786362</v>
      </c>
      <c r="K12" s="18">
        <f>-(K6-J6)*Assumptions!B11</f>
        <v>-8589190.465118648</v>
      </c>
    </row>
    <row r="13" spans="1:11" x14ac:dyDescent="0.25">
      <c r="A13" s="19" t="s">
        <v>56</v>
      </c>
      <c r="B13" s="20">
        <f>B9+B10+B11+B12</f>
        <v>708479899.9307667</v>
      </c>
      <c r="C13" s="20">
        <f>C9+C10+C11+C12</f>
        <v>728731160.9739147</v>
      </c>
      <c r="D13" s="20">
        <f>D9+D10+D11+D12</f>
        <v>740431834.8997058</v>
      </c>
      <c r="E13" s="20">
        <f>E9+E10+E11+E12</f>
        <v>753107326.044766</v>
      </c>
      <c r="F13" s="20">
        <f>F9+F10+F11+F12</f>
        <v>766800223.9761924</v>
      </c>
      <c r="G13" s="20">
        <f>G9+G10+G11+G12</f>
        <v>781557045.7150464</v>
      </c>
      <c r="H13" s="20">
        <f>H9+H10+H11+H12</f>
        <v>797428496.501832</v>
      </c>
      <c r="I13" s="20">
        <f>I9+I10+I11+I12</f>
        <v>814469757.0012484</v>
      </c>
      <c r="J13" s="20">
        <f>J9+J10+J11+J12</f>
        <v>832740799.2016538</v>
      </c>
      <c r="K13" s="20">
        <f>K9+K10+K11+K12</f>
        <v>852306733.5143198</v>
      </c>
    </row>
    <row r="14" spans="1:11" x14ac:dyDescent="0.25">
      <c r="A14" t="s">
        <v>57</v>
      </c>
      <c r="B14" s="21">
        <f>1/(1+Assumptions!$B$26)^(1-0.5*Assumptions!$B$32)</f>
        <v>0.9644369001234762</v>
      </c>
      <c r="C14" s="21">
        <f>1/(1+Assumptions!$B$26)^(2-0.5*Assumptions!$B$32)</f>
        <v>0.8970599247247624</v>
      </c>
      <c r="D14" s="21">
        <f>1/(1+Assumptions!$B$26)^(3-0.5*Assumptions!$B$32)</f>
        <v>0.8343900035805025</v>
      </c>
      <c r="E14" s="21">
        <f>1/(1+Assumptions!$B$26)^(4-0.5*Assumptions!$B$32)</f>
        <v>0.7760982949814447</v>
      </c>
      <c r="F14" s="21">
        <f>1/(1+Assumptions!$B$26)^(5-0.5*Assumptions!$B$32)</f>
        <v>0.7218789305821213</v>
      </c>
      <c r="G14" s="21">
        <f>1/(1+Assumptions!$B$26)^(6-0.5*Assumptions!$B$32)</f>
        <v>0.6714474104479845</v>
      </c>
      <c r="H14" s="21">
        <f>1/(1+Assumptions!$B$26)^(7-0.5*Assumptions!$B$32)</f>
        <v>0.6245391102269001</v>
      </c>
      <c r="I14" s="21">
        <f>1/(1+Assumptions!$B$26)^(8-0.5*Assumptions!$B$32)</f>
        <v>0.5809078926118284</v>
      </c>
      <c r="J14" s="21">
        <f>1/(1+Assumptions!$B$26)^(9-0.5*Assumptions!$B$32)</f>
        <v>0.5403248158087582</v>
      </c>
      <c r="K14" s="21">
        <f>1/(1+Assumptions!$B$26)^(10-0.5*Assumptions!$B$32)</f>
        <v>0.5025769322329635</v>
      </c>
    </row>
    <row r="15" spans="1:11" x14ac:dyDescent="0.25">
      <c r="A15" s="19" t="s">
        <v>58</v>
      </c>
      <c r="B15" s="20">
        <f>B13*B14</f>
        <v>683284158.4890193</v>
      </c>
      <c r="C15" s="20">
        <f>C13*C14</f>
        <v>653715520.4078486</v>
      </c>
      <c r="D15" s="20">
        <f>D13*D14</f>
        <v>617808921.3730836</v>
      </c>
      <c r="E15" s="20">
        <f>E13*E14</f>
        <v>584485311.6813778</v>
      </c>
      <c r="F15" s="20">
        <f>F13*F14</f>
        <v>553536925.6540648</v>
      </c>
      <c r="G15" s="20">
        <f>G13*G14</f>
        <v>524774454.46274495</v>
      </c>
      <c r="H15" s="20">
        <f>H13*H14</f>
        <v>498025283.6748289</v>
      </c>
      <c r="I15" s="20">
        <f>I13*I14</f>
        <v>473131910.13566315</v>
      </c>
      <c r="J15" s="20">
        <f>J13*J14</f>
        <v>449950518.94507176</v>
      </c>
      <c r="K15" s="20">
        <f>K13*K14</f>
        <v>428349703.4511248</v>
      </c>
    </row>
    <row r="17" spans="1:2" x14ac:dyDescent="0.25">
      <c r="A17" s="22" t="s">
        <v>59</v>
      </c>
      <c r="B17" s="23">
        <f>SUM(B15:K15)</f>
        <v>5467062708.274829</v>
      </c>
    </row>
    <row r="19" spans="1:11" x14ac:dyDescent="0.25">
      <c r="A19" t="s">
        <v>7</v>
      </c>
      <c r="B19" s="9">
        <f>Assumptions!$B$10+($B$20-Assumptions!$B$10)*0/9</f>
        <v>0.022786415859907674</v>
      </c>
      <c r="C19" s="9">
        <f>Assumptions!$B$10+($B$20-Assumptions!$B$10)*1/9</f>
        <v>0.02292987361432247</v>
      </c>
      <c r="D19" s="9">
        <f>Assumptions!$B$10+($B$20-Assumptions!$B$10)*2/9</f>
        <v>0.02307333136873727</v>
      </c>
      <c r="E19" s="9">
        <f>Assumptions!$B$10+($B$20-Assumptions!$B$10)*3/9</f>
        <v>0.023216789123152063</v>
      </c>
      <c r="F19" s="9">
        <f>Assumptions!$B$10+($B$20-Assumptions!$B$10)*4/9</f>
        <v>0.02336024687756686</v>
      </c>
      <c r="G19" s="9">
        <f>Assumptions!$B$10+($B$20-Assumptions!$B$10)*5/9</f>
        <v>0.023503704631981658</v>
      </c>
      <c r="H19" s="9">
        <f>Assumptions!$B$10+($B$20-Assumptions!$B$10)*6/9</f>
        <v>0.023647162386396456</v>
      </c>
      <c r="I19" s="9">
        <f>Assumptions!$B$10+($B$20-Assumptions!$B$10)*7/9</f>
        <v>0.02379062014081125</v>
      </c>
      <c r="J19" s="9">
        <f>Assumptions!$B$10+($B$20-Assumptions!$B$10)*8/9</f>
        <v>0.023934077895226048</v>
      </c>
      <c r="K19" s="9">
        <f>Assumptions!$B$10+($B$20-Assumptions!$B$10)*9/9</f>
        <v>0.024077535649640845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0.024077535649640845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852306733.5143198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898326181.5437618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-37430257.56432342</v>
      </c>
    </row>
    <row r="8" spans="1:2" x14ac:dyDescent="0.25">
      <c r="A8" t="s">
        <v>67</v>
      </c>
      <c r="B8" s="18">
        <f>IF(OR(Assumptions!$B$33=0,Assumptions!B12&lt;=0),B5,MAX(B5+B7,0))</f>
        <v>860895923.9794384</v>
      </c>
    </row>
    <row r="9" spans="1:2" x14ac:dyDescent="0.25">
      <c r="A9" t="s">
        <v>68</v>
      </c>
      <c r="B9" s="18">
        <f>B8*(1+Assumptions!B12)/(Assumptions!B26-Assumptions!B12)</f>
        <v>17610093629.007984</v>
      </c>
    </row>
    <row r="10" spans="1:2" x14ac:dyDescent="0.25">
      <c r="A10" t="s">
        <v>69</v>
      </c>
      <c r="B10" s="18">
        <f>B9/(1+Assumptions!B26)^(10-0.5*Assumptions!B32)</f>
        <v>8850426832.402088</v>
      </c>
    </row>
    <row r="11" spans="1:2" x14ac:dyDescent="0.25">
      <c r="A11" t="s">
        <v>70</v>
      </c>
      <c r="B11" s="18">
        <f>Forecast!B17+B10</f>
        <v>14317489540.676918</v>
      </c>
    </row>
    <row r="12" spans="1:2" x14ac:dyDescent="0.25">
      <c r="A12" t="s">
        <v>71</v>
      </c>
      <c r="B12" s="18">
        <f>-Assumptions!B30</f>
        <v>-4922609000</v>
      </c>
    </row>
    <row r="13" spans="1:2" x14ac:dyDescent="0.25">
      <c r="A13" t="s">
        <v>72</v>
      </c>
      <c r="B13" s="18">
        <f>B11+B12</f>
        <v>9394880540.676918</v>
      </c>
    </row>
    <row r="14" spans="1:2" x14ac:dyDescent="0.25">
      <c r="A14" s="19" t="s">
        <v>73</v>
      </c>
      <c r="B14" s="24">
        <f>B13/Assumptions!B31</f>
        <v>274.40205850241335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1246196123.7956982</v>
      </c>
    </row>
    <row r="18" spans="1:2" x14ac:dyDescent="0.25">
      <c r="A18" t="s">
        <v>68</v>
      </c>
      <c r="B18" s="18">
        <f>B17*Assumptions!B13</f>
        <v>18286053074.245163</v>
      </c>
    </row>
    <row r="19" spans="1:2" x14ac:dyDescent="0.25">
      <c r="A19" t="s">
        <v>69</v>
      </c>
      <c r="B19" s="18">
        <f>B18/(1+Assumptions!B26)^(10-0.5*Assumptions!B32)</f>
        <v>9190148456.703285</v>
      </c>
    </row>
    <row r="20" spans="1:2" x14ac:dyDescent="0.25">
      <c r="A20" t="s">
        <v>70</v>
      </c>
      <c r="B20" s="18">
        <f>Forecast!B17+B19</f>
        <v>14657211164.978115</v>
      </c>
    </row>
    <row r="21" spans="1:2" x14ac:dyDescent="0.25">
      <c r="A21" t="s">
        <v>71</v>
      </c>
      <c r="B21" s="18">
        <f>-Assumptions!B30</f>
        <v>-4922609000</v>
      </c>
    </row>
    <row r="22" spans="1:2" x14ac:dyDescent="0.25">
      <c r="A22" t="s">
        <v>72</v>
      </c>
      <c r="B22" s="18">
        <f>B20+B21</f>
        <v>9734602164.978115</v>
      </c>
    </row>
    <row r="23" spans="1:2" x14ac:dyDescent="0.25">
      <c r="A23" s="19" t="s">
        <v>73</v>
      </c>
      <c r="B23" s="25">
        <f>B22/Assumptions!B31</f>
        <v>284.32451708210647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313.71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274.40205850241335</v>
      </c>
    </row>
    <row r="29" spans="1:2" x14ac:dyDescent="0.25">
      <c r="A29" s="19" t="s">
        <v>81</v>
      </c>
      <c r="B29" s="11">
        <f>B28/B26-1</f>
        <v>-0.12530025022341218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0.055109</v>
      </c>
      <c r="B5" s="31">
        <v>420.7779313160412</v>
      </c>
      <c r="C5" s="31">
        <v>473.8200199696898</v>
      </c>
      <c r="D5" s="31">
        <v>544.6725482197395</v>
      </c>
      <c r="E5" s="31">
        <v>643.9753899737941</v>
      </c>
      <c r="F5" s="31">
        <v>792.9506200520867</v>
      </c>
    </row>
    <row r="6" spans="1:6" x14ac:dyDescent="0.25">
      <c r="A6" s="30">
        <v>0.065109</v>
      </c>
      <c r="B6" s="31">
        <v>308.87088340134824</v>
      </c>
      <c r="C6" s="31">
        <v>338.5878620674604</v>
      </c>
      <c r="D6" s="31">
        <v>375.85131286211845</v>
      </c>
      <c r="E6" s="31">
        <v>423.88539716639843</v>
      </c>
      <c r="F6" s="31">
        <v>488.0559359190335</v>
      </c>
    </row>
    <row r="7" spans="1:6" x14ac:dyDescent="0.25">
      <c r="A7" s="30">
        <v>0.075109</v>
      </c>
      <c r="B7" s="31">
        <v>234.26554442010385</v>
      </c>
      <c r="C7" s="31">
        <v>252.46450549080302</v>
      </c>
      <c r="D7" s="32">
        <v>274.3993562373607</v>
      </c>
      <c r="E7" s="31">
        <v>301.3123841220991</v>
      </c>
      <c r="F7" s="31">
        <v>335.06533232167936</v>
      </c>
    </row>
    <row r="8" spans="1:6" x14ac:dyDescent="0.25">
      <c r="A8" s="30">
        <v>0.085109</v>
      </c>
      <c r="B8" s="31">
        <v>180.99491484705882</v>
      </c>
      <c r="C8" s="31">
        <v>192.81919814139704</v>
      </c>
      <c r="D8" s="31">
        <v>206.69269068129552</v>
      </c>
      <c r="E8" s="31">
        <v>223.17316231711297</v>
      </c>
      <c r="F8" s="31">
        <v>243.0410055220333</v>
      </c>
    </row>
    <row r="9" spans="1:6" x14ac:dyDescent="0.25">
      <c r="A9" s="30">
        <v>0.095109</v>
      </c>
      <c r="B9" s="31">
        <v>141.065096061012</v>
      </c>
      <c r="C9" s="31">
        <v>149.07369401076127</v>
      </c>
      <c r="D9" s="31">
        <v>158.2912522082611</v>
      </c>
      <c r="E9" s="31">
        <v>168.99629441698912</v>
      </c>
      <c r="F9" s="31">
        <v>181.56001729914917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4939994000</v>
      </c>
      <c r="C5" s="18">
        <v>4706416000</v>
      </c>
      <c r="D5" s="18">
        <v>4479358000</v>
      </c>
      <c r="E5" s="18">
        <v>4537158000</v>
      </c>
      <c r="F5" s="6" t="s">
        <v>91</v>
      </c>
    </row>
    <row r="6" spans="1:6" x14ac:dyDescent="0.25">
      <c r="A6" t="s">
        <v>51</v>
      </c>
      <c r="B6" s="18">
        <v>949946000</v>
      </c>
      <c r="C6" s="18">
        <v>879157000</v>
      </c>
      <c r="D6" s="18">
        <v>819668000</v>
      </c>
      <c r="E6" s="18">
        <v>746752000</v>
      </c>
      <c r="F6" s="6" t="s">
        <v>92</v>
      </c>
    </row>
    <row r="7" spans="1:6" x14ac:dyDescent="0.25">
      <c r="A7" t="s">
        <v>93</v>
      </c>
      <c r="B7" s="18">
        <v>88827000</v>
      </c>
      <c r="C7" s="18">
        <v>87732000</v>
      </c>
      <c r="D7" s="18">
        <v>80640000</v>
      </c>
      <c r="E7" s="18">
        <v>80251000</v>
      </c>
      <c r="F7" s="6" t="s">
        <v>94</v>
      </c>
    </row>
    <row r="8" spans="1:6" x14ac:dyDescent="0.25">
      <c r="A8" t="s">
        <v>95</v>
      </c>
      <c r="B8" s="18">
        <v>120558000</v>
      </c>
      <c r="C8" s="18">
        <v>112885000</v>
      </c>
      <c r="D8" s="18">
        <v>105396000</v>
      </c>
      <c r="E8" s="18">
        <v>87234000</v>
      </c>
      <c r="F8" s="6" t="s">
        <v>96</v>
      </c>
    </row>
    <row r="9" spans="1:6" x14ac:dyDescent="0.25">
      <c r="A9" t="s">
        <v>97</v>
      </c>
      <c r="B9" s="18">
        <v>-52751000</v>
      </c>
      <c r="C9" s="18">
        <v>44012000</v>
      </c>
      <c r="D9" s="18">
        <v>14244000</v>
      </c>
      <c r="E9" s="18">
        <v>73811000</v>
      </c>
      <c r="F9" s="6" t="s">
        <v>98</v>
      </c>
    </row>
    <row r="10" spans="1:6" x14ac:dyDescent="0.25">
      <c r="A10" t="s">
        <v>99</v>
      </c>
      <c r="B10" s="18">
        <v>5048284000</v>
      </c>
      <c r="C10" s="18">
        <v>5197241000</v>
      </c>
      <c r="D10" s="18">
        <v>5209306000</v>
      </c>
      <c r="E10" s="18">
        <v>5252354000</v>
      </c>
      <c r="F10" s="6" t="s">
        <v>100</v>
      </c>
    </row>
    <row r="11" spans="1:6" x14ac:dyDescent="0.25">
      <c r="A11" t="s">
        <v>101</v>
      </c>
      <c r="B11" s="18">
        <v>125675000</v>
      </c>
      <c r="C11" s="18">
        <v>186126000</v>
      </c>
      <c r="D11" s="18">
        <v>114098000</v>
      </c>
      <c r="E11" s="18">
        <v>60356000</v>
      </c>
      <c r="F11" s="6" t="s">
        <v>102</v>
      </c>
    </row>
    <row r="12" spans="1:6" x14ac:dyDescent="0.25">
      <c r="A12" t="s">
        <v>34</v>
      </c>
      <c r="B12" s="34">
        <v>34237646</v>
      </c>
      <c r="C12" s="34">
        <v>34991484</v>
      </c>
      <c r="D12" s="34">
        <v>35401313</v>
      </c>
      <c r="E12" s="34">
        <v>36093754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