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<sst xmlns="http://schemas.openxmlformats.org/spreadsheetml/2006/main" count="120" uniqueCount="107">
  <si>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Darden Restaurants, Inc. (DRI)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</si>
  <si>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</si>
  <si>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</si>
  <si>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</si>
  <si>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</si>
  <si>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</si>
  <si>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</si>
  <si>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</si>
  <si>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</si>
  <si>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</si>
  <si>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</si>
  <si>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</si>
  <si>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</si>
  <si>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</si>
  <si>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</si>
  <si>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</si>
  <si>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</si>
  <si>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</si>
  <si>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</si>
  <si>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</si>
  <si>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</si>
  <si>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</si>
  <si>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</si>
  <si>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</si>
  <si>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8.2x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</si>
  <si>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</si>
  <si>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</si>
  <si>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</si>
  <si>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</si>
  <si>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</si>
  <si>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</si>
  <si>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</si>
  <si>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</si>
  <si>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</si>
  <si>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</si>
  <si>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</si>
  <si>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</si>
  <si>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</si>
  <si>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</si>
  <si>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</si>
  <si>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</si>
  <si>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</si>
  <si>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</si>
  <si>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</si>
  <si>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</si>
  <si>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</si>
  <si>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</si>
  <si>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</si>
  <si>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</si>
  <si>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</si>
  <si>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</si>
  <si>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</si>
  <si>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</si>
  <si>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</si>
  <si>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</si>
  <si>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</si>
  <si>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</si>
  <si>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</si>
  <si>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</si>
  <si>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</si>
  <si>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</si>
  <si>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</si>
  <si>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</si>
  <si>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</si>
  <si>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</si>
  <si>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</si>
  <si>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</si>
  <si>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</si>
  <si>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</si>
  <si>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</si>
  <si>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</si>
  <si>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</si>
  <si>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</si>
  <si>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</si>
  <si>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</si>
  <si>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</si>
  <si>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</si>
  <si>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</si>
  <si>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</si>
  <si>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</si>
  <si>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</si>
  <si>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</si>
  <si>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</si>
  <si>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</si>
  <si>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</si>
  <si>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</si>
  <si>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</si>
  <si>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</si>
  <si>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</si>
  <si>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</si>
  <si>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</si>
  <si>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</si>
  <si>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</si>
  <si>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</si>
  <si>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</si>
  <si>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</si>
  <si>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</si>
  <si>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</si>
  <si>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</si>
  <si>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</si>
  <si>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</si>
  <si>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</si>
  <si>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</si>
  <si>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</si>
  <si>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</si>
  <si>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5.6% of revenue against depreciation of 4.1%.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</si>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</sst>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0.03733093051949532</v>
      </c>
    </row>
    <row r="7" spans="1:2" x14ac:dyDescent="0.25">
      <c r="A7" t="s">
        <v>4</v>
      </c>
      <c r="B7" s="5">
        <v>0.1187990894977611</v>
      </c>
    </row>
    <row r="8" spans="1:2" x14ac:dyDescent="0.25">
      <c r="A8" t="s">
        <v>5</v>
      </c>
      <c r="B8" s="5">
        <v>0.1228093051823533</v>
      </c>
    </row>
    <row r="9" spans="1:2" x14ac:dyDescent="0.25">
      <c r="A9" t="s">
        <v>6</v>
      </c>
      <c r="B9" s="5">
        <v>0.04064037711458361</v>
      </c>
    </row>
    <row r="10" spans="1:3" x14ac:dyDescent="0.25">
      <c r="A10" t="s">
        <v>7</v>
      </c>
      <c r="B10" s="5">
        <v>0.05625571355508813</v>
      </c>
      <c r="C10" s="6" t="s">
        <v>8</v>
      </c>
    </row>
    <row r="11" spans="1:2" x14ac:dyDescent="0.25">
      <c r="A11" t="s">
        <v>9</v>
      </c>
      <c r="B11" s="5">
        <v>-0.0065022510168453364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14.308319210222816</v>
      </c>
    </row>
    <row r="14" spans="1:3" x14ac:dyDescent="0.25">
      <c r="A14" t="s">
        <v>12</v>
      </c>
      <c r="B14" s="5">
        <v>0.3119644113626018</v>
      </c>
      <c r="C14" s="6" t="s">
        <v>13</v>
      </c>
    </row>
    <row r="15" spans="1:3" x14ac:dyDescent="0.25">
      <c r="A15" t="s">
        <v>14</v>
      </c>
      <c r="B15" s="5">
        <v>0.038819157321284756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0.7440599999999999</v>
      </c>
      <c r="C19" s="6" t="s">
        <v>21</v>
      </c>
    </row>
    <row r="20" spans="1:2" x14ac:dyDescent="0.25">
      <c r="A20" t="s">
        <v>22</v>
      </c>
      <c r="B20" s="9">
        <f>B17+B19*B18</f>
        <v>0.080413738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24910743552</v>
      </c>
    </row>
    <row r="23" spans="1:2" x14ac:dyDescent="0.25">
      <c r="A23" t="s">
        <v>26</v>
      </c>
      <c r="B23" s="10">
        <v>6324900000</v>
      </c>
    </row>
    <row r="24" spans="1:2" x14ac:dyDescent="0.25">
      <c r="A24" t="s">
        <v>27</v>
      </c>
      <c r="B24" s="9">
        <f>B22/(B22+B23)</f>
        <v>0.7975101748913695</v>
      </c>
    </row>
    <row r="25" spans="1:2" x14ac:dyDescent="0.25">
      <c r="A25" t="s">
        <v>28</v>
      </c>
      <c r="B25" s="9">
        <f>1-B24</f>
        <v>0.20248982510863045</v>
      </c>
    </row>
    <row r="26" spans="1:2" x14ac:dyDescent="0.25">
      <c r="A26" t="s">
        <v>29</v>
      </c>
      <c r="B26" s="11">
        <f>B24*B20+B25*B21*(1-B8)</f>
        <v>0.07380052630036554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13210900000</v>
      </c>
      <c r="C29" s="6" t="s">
        <v>32</v>
      </c>
    </row>
    <row r="30" spans="1:2" x14ac:dyDescent="0.25">
      <c r="A30" t="s">
        <v>33</v>
      </c>
      <c r="B30" s="10">
        <v>6105400000</v>
      </c>
    </row>
    <row r="31" spans="1:2" x14ac:dyDescent="0.25">
      <c r="A31" t="s">
        <v>34</v>
      </c>
      <c r="B31" s="12">
        <v>116300000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0.03733093051949532</v>
      </c>
      <c r="C5" s="5">
        <v>0.06072150571730783</v>
      </c>
      <c r="D5" s="5">
        <v>0.05625631750264436</v>
      </c>
      <c r="E5" s="5">
        <v>0.051791129287980874</v>
      </c>
      <c r="F5" s="5">
        <v>0.0473259410733174</v>
      </c>
      <c r="G5" s="5">
        <v>0.042860752858653914</v>
      </c>
      <c r="H5" s="5">
        <v>0.03839556464399044</v>
      </c>
      <c r="I5" s="5">
        <v>0.03393037642932696</v>
      </c>
      <c r="J5" s="5">
        <v>0.029465188214663478</v>
      </c>
      <c r="K5" s="5">
        <v>0.025</v>
      </c>
    </row>
    <row r="6" spans="1:11" x14ac:dyDescent="0.25">
      <c r="A6" t="s">
        <v>50</v>
      </c>
      <c r="B6" s="18">
        <f>Assumptions!B29*(1+B5)</f>
        <v>13704075190</v>
      </c>
      <c r="C6" s="18">
        <f>B6*(1+C5)</f>
        <v>14536207270.000002</v>
      </c>
      <c r="D6" s="18">
        <f>C6*(1+D5)</f>
        <v>15353960761.465368</v>
      </c>
      <c r="E6" s="18">
        <f>D6*(1+E5)</f>
        <v>16149159728.345007</v>
      </c>
      <c r="F6" s="18">
        <f>E6*(1+F5)</f>
        <v>16913433910.032251</v>
      </c>
      <c r="G6" s="18">
        <f>F6*(1+G5)</f>
        <v>17638356420.84132</v>
      </c>
      <c r="H6" s="18">
        <f>G6*(1+H5)</f>
        <v>18315591075.011475</v>
      </c>
      <c r="I6" s="18">
        <f>H6*(1+I5)</f>
        <v>18937045974.71224</v>
      </c>
      <c r="J6" s="18">
        <f>I6*(1+J5)</f>
        <v>19495029598.58687</v>
      </c>
      <c r="K6" s="18">
        <f>J6*(1+K5)</f>
        <v>19982405338.551537</v>
      </c>
    </row>
    <row r="7" spans="1:11" x14ac:dyDescent="0.25">
      <c r="A7" t="s">
        <v>4</v>
      </c>
      <c r="B7" s="9">
        <f>Assumptions!B7</f>
        <v>0.1187990894977611</v>
      </c>
      <c r="C7" s="9">
        <f>Assumptions!B7</f>
        <v>0.1187990894977611</v>
      </c>
      <c r="D7" s="9">
        <f>Assumptions!B7</f>
        <v>0.1187990894977611</v>
      </c>
      <c r="E7" s="9">
        <f>Assumptions!B7</f>
        <v>0.1187990894977611</v>
      </c>
      <c r="F7" s="9">
        <f>Assumptions!B7</f>
        <v>0.1187990894977611</v>
      </c>
      <c r="G7" s="9">
        <f>Assumptions!B7</f>
        <v>0.1187990894977611</v>
      </c>
      <c r="H7" s="9">
        <f>Assumptions!B7</f>
        <v>0.1187990894977611</v>
      </c>
      <c r="I7" s="9">
        <f>Assumptions!B7</f>
        <v>0.1187990894977611</v>
      </c>
      <c r="J7" s="9">
        <f>Assumptions!B7</f>
        <v>0.1187990894977611</v>
      </c>
      <c r="K7" s="9">
        <f>Assumptions!B7</f>
        <v>0.1187990894977611</v>
      </c>
    </row>
    <row r="8" spans="1:11" x14ac:dyDescent="0.25">
      <c r="A8" t="s">
        <v>51</v>
      </c>
      <c r="B8" s="18">
        <f>B6*B7</f>
        <v>1628031654.9808576</v>
      </c>
      <c r="C8" s="18">
        <f>C6*C7</f>
        <v>1726888188.4267359</v>
      </c>
      <c r="D8" s="18">
        <f>D6*D7</f>
        <v>1824036558.6464365</v>
      </c>
      <c r="E8" s="18">
        <f>E6*E7</f>
        <v>1918505471.8812978</v>
      </c>
      <c r="F8" s="18">
        <f>F6*F7</f>
        <v>2009300548.792389</v>
      </c>
      <c r="G8" s="18">
        <f>G6*G7</f>
        <v>2095420683.0329373</v>
      </c>
      <c r="H8" s="18">
        <f>H6*H7</f>
        <v>2175875543.3246827</v>
      </c>
      <c r="I8" s="18">
        <f>I6*I7</f>
        <v>2249703819.5730557</v>
      </c>
      <c r="J8" s="18">
        <f>J6*J7</f>
        <v>2315991766.044023</v>
      </c>
      <c r="K8" s="18">
        <f>K6*K7</f>
        <v>2373891560.195123</v>
      </c>
    </row>
    <row r="9" spans="1:11" x14ac:dyDescent="0.25">
      <c r="A9" t="s">
        <v>52</v>
      </c>
      <c r="B9" s="18">
        <f>B8*(1-Assumptions!B8)</f>
        <v>1428094218.6177816</v>
      </c>
      <c r="C9" s="18">
        <f>C8*(1-Assumptions!B8)</f>
        <v>1514810249.8784356</v>
      </c>
      <c r="D9" s="18">
        <f>D8*(1-Assumptions!B8)</f>
        <v>1600027896.2518568</v>
      </c>
      <c r="E9" s="18">
        <f>E8*(1-Assumptions!B8)</f>
        <v>1682895147.8910127</v>
      </c>
      <c r="F9" s="18">
        <f>F8*(1-Assumptions!B8)</f>
        <v>1762539744.4926744</v>
      </c>
      <c r="G9" s="18">
        <f>G8*(1-Assumptions!B8)</f>
        <v>1838083524.8849301</v>
      </c>
      <c r="H9" s="18">
        <f>H8*(1-Assumptions!B8)</f>
        <v>1908657779.6857028</v>
      </c>
      <c r="I9" s="18">
        <f>I8*(1-Assumptions!B8)</f>
        <v>1973419256.6252024</v>
      </c>
      <c r="J9" s="18">
        <f>J8*(1-Assumptions!B8)</f>
        <v>2031566426.448105</v>
      </c>
      <c r="K9" s="18">
        <f>K8*(1-Assumptions!B8)</f>
        <v>2082355587.1093075</v>
      </c>
    </row>
    <row r="10" spans="1:11" x14ac:dyDescent="0.25">
      <c r="A10" t="s">
        <v>53</v>
      </c>
      <c r="B10" s="18">
        <f>B6*Assumptions!B9</f>
        <v>556938783.728209</v>
      </c>
      <c r="C10" s="18">
        <f>C6*Assumptions!B9</f>
        <v>590756945.268552</v>
      </c>
      <c r="D10" s="18">
        <f>D6*Assumptions!B9</f>
        <v>623990755.5484719</v>
      </c>
      <c r="E10" s="18">
        <f>E6*Assumptions!B9</f>
        <v>656307941.4435877</v>
      </c>
      <c r="F10" s="18">
        <f>F6*Assumptions!B9</f>
        <v>687368332.4062971</v>
      </c>
      <c r="G10" s="18">
        <f>G6*Assumptions!B9</f>
        <v>716829456.6244285</v>
      </c>
      <c r="H10" s="18">
        <f>H6*Assumptions!B9</f>
        <v>744352528.3649682</v>
      </c>
      <c r="I10" s="18">
        <f>I6*Assumptions!B9</f>
        <v>769608689.848513</v>
      </c>
      <c r="J10" s="18">
        <f>J6*Assumptions!B9</f>
        <v>792285354.74654</v>
      </c>
      <c r="K10" s="18">
        <f>K6*Assumptions!B9</f>
        <v>812092488.6152033</v>
      </c>
    </row>
    <row r="11" spans="1:11" x14ac:dyDescent="0.25">
      <c r="A11" t="s">
        <v>54</v>
      </c>
      <c r="B11" s="18">
        <f>-B6*B19</f>
        <v>-770932528.4260299</v>
      </c>
      <c r="C11" s="18">
        <f>-C6*C19</f>
        <v>-803277208.0149454</v>
      </c>
      <c r="D11" s="18">
        <f>-D6*D19</f>
        <v>-833185232.810285</v>
      </c>
      <c r="E11" s="18">
        <f>-E6*E19</f>
        <v>-860264003.4688277</v>
      </c>
      <c r="F11" s="18">
        <f>-F6*F19</f>
        <v>-884143311.5807565</v>
      </c>
      <c r="G11" s="18">
        <f>-G6*G19</f>
        <v>-904483367.8392142</v>
      </c>
      <c r="H11" s="18">
        <f>-H6*H19</f>
        <v>-920982491.9286038</v>
      </c>
      <c r="I11" s="18">
        <f>-I6*I19</f>
        <v>-933384231.336497</v>
      </c>
      <c r="J11" s="18">
        <f>-J6*J19</f>
        <v>-941483683.7527627</v>
      </c>
      <c r="K11" s="18">
        <f>-K6*K19</f>
        <v>-945132813.9690018</v>
      </c>
    </row>
    <row r="12" spans="1:11" x14ac:dyDescent="0.25">
      <c r="A12" t="s">
        <v>55</v>
      </c>
      <c r="B12" s="18">
        <f>-(B6-Assumptions!B29)*Assumptions!B11</f>
        <v>3206748.880660392</v>
      </c>
      <c r="C12" s="18">
        <f>-(C6-B6)*Assumptions!B11</f>
        <v>5410731.663329638</v>
      </c>
      <c r="D12" s="18">
        <f>-(D6-C6)*Assumptions!B11</f>
        <v>5317238.471409502</v>
      </c>
      <c r="E12" s="18">
        <f>-(E6-D6)*Assumptions!B11</f>
        <v>5170583.290987492</v>
      </c>
      <c r="F12" s="18">
        <f>-(F6-E6)*Assumptions!B11</f>
        <v>4969502.575024523</v>
      </c>
      <c r="G12" s="18">
        <f>-(G6-F6)*Assumptions!B11</f>
        <v>4713628.133042341</v>
      </c>
      <c r="H12" s="18">
        <f>-(H6-G6)*Assumptions!B11</f>
        <v>4403549.718720787</v>
      </c>
      <c r="I12" s="18">
        <f>-(I6-H6)*Assumptions!B11</f>
        <v>4040855.7535028076</v>
      </c>
      <c r="J12" s="18">
        <f>-(J6-I6)*Assumptions!B11</f>
        <v>3628149.5857218583</v>
      </c>
      <c r="K12" s="18">
        <f>-(K6-J6)*Assumptions!B11</f>
        <v>3169039.4007710125</v>
      </c>
    </row>
    <row r="13" spans="1:11" x14ac:dyDescent="0.25">
      <c r="A13" s="19" t="s">
        <v>56</v>
      </c>
      <c r="B13" s="20">
        <f>B9+B10+B11+B12</f>
        <v>1217307222.800621</v>
      </c>
      <c r="C13" s="20">
        <f>C9+C10+C11+C12</f>
        <v>1307700718.7953715</v>
      </c>
      <c r="D13" s="20">
        <f>D9+D10+D11+D12</f>
        <v>1396150657.4614532</v>
      </c>
      <c r="E13" s="20">
        <f>E9+E10+E11+E12</f>
        <v>1484109669.1567602</v>
      </c>
      <c r="F13" s="20">
        <f>F9+F10+F11+F12</f>
        <v>1570734267.8932395</v>
      </c>
      <c r="G13" s="20">
        <f>G9+G10+G11+G12</f>
        <v>1655143241.8031864</v>
      </c>
      <c r="H13" s="20">
        <f>H9+H10+H11+H12</f>
        <v>1736431365.8407881</v>
      </c>
      <c r="I13" s="20">
        <f>I9+I10+I11+I12</f>
        <v>1813684570.8907213</v>
      </c>
      <c r="J13" s="20">
        <f>J9+J10+J11+J12</f>
        <v>1885996247.027604</v>
      </c>
      <c r="K13" s="20">
        <f>K9+K10+K11+K12</f>
        <v>1952484301.1562798</v>
      </c>
    </row>
    <row r="14" spans="1:11" x14ac:dyDescent="0.25">
      <c r="A14" t="s">
        <v>57</v>
      </c>
      <c r="B14" s="21">
        <f>1/(1+Assumptions!$B$26)^(1-0.5*Assumptions!$B$32)</f>
        <v>0.9650241765208174</v>
      </c>
      <c r="C14" s="21">
        <f>1/(1+Assumptions!$B$26)^(2-0.5*Assumptions!$B$32)</f>
        <v>0.8986996680339482</v>
      </c>
      <c r="D14" s="21">
        <f>1/(1+Assumptions!$B$26)^(3-0.5*Assumptions!$B$32)</f>
        <v>0.8369335328324863</v>
      </c>
      <c r="E14" s="21">
        <f>1/(1+Assumptions!$B$26)^(4-0.5*Assumptions!$B$32)</f>
        <v>0.7794124814932133</v>
      </c>
      <c r="F14" s="21">
        <f>1/(1+Assumptions!$B$26)^(5-0.5*Assumptions!$B$32)</f>
        <v>0.7258447564545097</v>
      </c>
      <c r="G14" s="21">
        <f>1/(1+Assumptions!$B$26)^(6-0.5*Assumptions!$B$32)</f>
        <v>0.6759586521672788</v>
      </c>
      <c r="H14" s="21">
        <f>1/(1+Assumptions!$B$26)^(7-0.5*Assumptions!$B$32)</f>
        <v>0.6295011369534366</v>
      </c>
      <c r="I14" s="21">
        <f>1/(1+Assumptions!$B$26)^(8-0.5*Assumptions!$B$32)</f>
        <v>0.5862365695817804</v>
      </c>
      <c r="J14" s="21">
        <f>1/(1+Assumptions!$B$26)^(9-0.5*Assumptions!$B$32)</f>
        <v>0.545945504051464</v>
      </c>
      <c r="K14" s="21">
        <f>1/(1+Assumptions!$B$26)^(10-0.5*Assumptions!$B$32)</f>
        <v>0.5084235765207206</v>
      </c>
    </row>
    <row r="15" spans="1:11" x14ac:dyDescent="0.25">
      <c r="A15" s="19" t="s">
        <v>58</v>
      </c>
      <c r="B15" s="20">
        <f>B13*B14</f>
        <v>1174730900.2560124</v>
      </c>
      <c r="C15" s="20">
        <f>C13*C14</f>
        <v>1175230201.869156</v>
      </c>
      <c r="D15" s="20">
        <f>D13*D14</f>
        <v>1168485302.1156125</v>
      </c>
      <c r="E15" s="20">
        <f>E13*E14</f>
        <v>1156733600.0455422</v>
      </c>
      <c r="F15" s="20">
        <f>F13*F14</f>
        <v>1140109232.133721</v>
      </c>
      <c r="G15" s="20">
        <f>G13*G14</f>
        <v>1118808394.8730624</v>
      </c>
      <c r="H15" s="20">
        <f>H13*H14</f>
        <v>1093085519.038385</v>
      </c>
      <c r="I15" s="20">
        <f>I13*I14</f>
        <v>1063248221.1423799</v>
      </c>
      <c r="J15" s="20">
        <f>J13*J14</f>
        <v>1029651171.7226548</v>
      </c>
      <c r="K15" s="20">
        <f>K13*K14</f>
        <v>992689051.4944354</v>
      </c>
    </row>
    <row r="17" spans="1:2" x14ac:dyDescent="0.25">
      <c r="A17" s="22" t="s">
        <v>59</v>
      </c>
      <c r="B17" s="23">
        <f>SUM(B15:K15)</f>
        <v>11112771594.690962</v>
      </c>
    </row>
    <row r="19" spans="1:11" x14ac:dyDescent="0.25">
      <c r="A19" t="s">
        <v>7</v>
      </c>
      <c r="B19" s="9">
        <f>Assumptions!$B$10+($B$20-Assumptions!$B$10)*0/9</f>
        <v>0.05625571355508813</v>
      </c>
      <c r="C19" s="9">
        <f>Assumptions!$B$10+($B$20-Assumptions!$B$10)*1/9</f>
        <v>0.05526043988604638</v>
      </c>
      <c r="D19" s="9">
        <f>Assumptions!$B$10+($B$20-Assumptions!$B$10)*2/9</f>
        <v>0.05426516621700462</v>
      </c>
      <c r="E19" s="9">
        <f>Assumptions!$B$10+($B$20-Assumptions!$B$10)*3/9</f>
        <v>0.05326989254796287</v>
      </c>
      <c r="F19" s="9">
        <f>Assumptions!$B$10+($B$20-Assumptions!$B$10)*4/9</f>
        <v>0.05227461887892112</v>
      </c>
      <c r="G19" s="9">
        <f>Assumptions!$B$10+($B$20-Assumptions!$B$10)*5/9</f>
        <v>0.05127934520987936</v>
      </c>
      <c r="H19" s="9">
        <f>Assumptions!$B$10+($B$20-Assumptions!$B$10)*6/9</f>
        <v>0.05028407154083761</v>
      </c>
      <c r="I19" s="9">
        <f>Assumptions!$B$10+($B$20-Assumptions!$B$10)*7/9</f>
        <v>0.04928879787179586</v>
      </c>
      <c r="J19" s="9">
        <f>Assumptions!$B$10+($B$20-Assumptions!$B$10)*8/9</f>
        <v>0.04829352420275411</v>
      </c>
      <c r="K19" s="9">
        <f>Assumptions!$B$10+($B$20-Assumptions!$B$10)*9/9</f>
        <v>0.04729825053371235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0.04729825053371235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1952484301.1562798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2114278619.7517538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0.08013734608638437</v>
      </c>
    </row>
    <row r="7" spans="1:2" x14ac:dyDescent="0.25">
      <c r="A7" t="s">
        <v>66</v>
      </c>
      <c r="B7" s="18">
        <f>-MAX(B5,0)*B6</f>
        <v>-169432677.47408935</v>
      </c>
    </row>
    <row r="8" spans="1:2" x14ac:dyDescent="0.25">
      <c r="A8" t="s">
        <v>67</v>
      </c>
      <c r="B8" s="18">
        <f>IF(OR(Assumptions!$B$33=0,Assumptions!B12&lt;=0),B5,MAX(B5+B7,0))</f>
        <v>1944845942.2776644</v>
      </c>
    </row>
    <row r="9" spans="1:2" x14ac:dyDescent="0.25">
      <c r="A9" t="s">
        <v>68</v>
      </c>
      <c r="B9" s="18">
        <f>B8*(1+Assumptions!B12)/(Assumptions!B26-Assumptions!B12)</f>
        <v>40849294914.66722</v>
      </c>
    </row>
    <row r="10" spans="1:2" x14ac:dyDescent="0.25">
      <c r="A10" t="s">
        <v>69</v>
      </c>
      <c r="B10" s="18">
        <f>B9/(1+Assumptions!B26)^(10-0.5*Assumptions!B32)</f>
        <v>20768744618.86479</v>
      </c>
    </row>
    <row r="11" spans="1:2" x14ac:dyDescent="0.25">
      <c r="A11" t="s">
        <v>70</v>
      </c>
      <c r="B11" s="18">
        <f>Forecast!B17+B10</f>
        <v>31881516213.555756</v>
      </c>
    </row>
    <row r="12" spans="1:2" x14ac:dyDescent="0.25">
      <c r="A12" t="s">
        <v>71</v>
      </c>
      <c r="B12" s="18">
        <f>-Assumptions!B30</f>
        <v>-6105400000</v>
      </c>
    </row>
    <row r="13" spans="1:2" x14ac:dyDescent="0.25">
      <c r="A13" t="s">
        <v>72</v>
      </c>
      <c r="B13" s="18">
        <f>B11+B12</f>
        <v>25776116213.555756</v>
      </c>
    </row>
    <row r="14" spans="1:2" x14ac:dyDescent="0.25">
      <c r="A14" s="19" t="s">
        <v>73</v>
      </c>
      <c r="B14" s="24">
        <f>B13/Assumptions!B31</f>
        <v>221.63470518964536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3185984048.8103266</v>
      </c>
    </row>
    <row r="18" spans="1:2" x14ac:dyDescent="0.25">
      <c r="A18" t="s">
        <v>68</v>
      </c>
      <c r="B18" s="18">
        <f>B17*Assumptions!B13</f>
        <v>45586076769.05626</v>
      </c>
    </row>
    <row r="19" spans="1:2" x14ac:dyDescent="0.25">
      <c r="A19" t="s">
        <v>69</v>
      </c>
      <c r="B19" s="18">
        <f>B18/(1+Assumptions!B26)^(10-0.5*Assumptions!B32)</f>
        <v>23177036190.471718</v>
      </c>
    </row>
    <row r="20" spans="1:2" x14ac:dyDescent="0.25">
      <c r="A20" t="s">
        <v>70</v>
      </c>
      <c r="B20" s="18">
        <f>Forecast!B17+B19</f>
        <v>34289807785.16268</v>
      </c>
    </row>
    <row r="21" spans="1:2" x14ac:dyDescent="0.25">
      <c r="A21" t="s">
        <v>71</v>
      </c>
      <c r="B21" s="18">
        <f>-Assumptions!B30</f>
        <v>-6105400000</v>
      </c>
    </row>
    <row r="22" spans="1:2" x14ac:dyDescent="0.25">
      <c r="A22" t="s">
        <v>72</v>
      </c>
      <c r="B22" s="18">
        <f>B20+B21</f>
        <v>28184407785.16268</v>
      </c>
    </row>
    <row r="23" spans="1:2" x14ac:dyDescent="0.25">
      <c r="A23" s="19" t="s">
        <v>73</v>
      </c>
      <c r="B23" s="25">
        <f>B22/Assumptions!B31</f>
        <v>242.34228534103767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220.17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221.63470518964536</v>
      </c>
    </row>
    <row r="29" spans="1:2" x14ac:dyDescent="0.25">
      <c r="A29" s="19" t="s">
        <v>81</v>
      </c>
      <c r="B29" s="11">
        <f>B28/B26-1</f>
        <v>0.006652610208681242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0.053801</v>
      </c>
      <c r="B5" s="31">
        <v>329.3611563397035</v>
      </c>
      <c r="C5" s="31">
        <v>365.34175169384594</v>
      </c>
      <c r="D5" s="31">
        <v>414.07833079248456</v>
      </c>
      <c r="E5" s="31">
        <v>483.61004140955487</v>
      </c>
      <c r="F5" s="31">
        <v>590.5278613003081</v>
      </c>
    </row>
    <row r="6" spans="1:6" x14ac:dyDescent="0.25">
      <c r="A6" s="30">
        <v>0.063801</v>
      </c>
      <c r="B6" s="31">
        <v>249.2861979023281</v>
      </c>
      <c r="C6" s="31">
        <v>268.56743455817843</v>
      </c>
      <c r="D6" s="31">
        <v>293.00233625622934</v>
      </c>
      <c r="E6" s="31">
        <v>324.8779647885288</v>
      </c>
      <c r="F6" s="31">
        <v>368.06956415749784</v>
      </c>
    </row>
    <row r="7" spans="1:6" x14ac:dyDescent="0.25">
      <c r="A7" s="30">
        <v>0.073801</v>
      </c>
      <c r="B7" s="31">
        <v>196.5790998984286</v>
      </c>
      <c r="C7" s="31">
        <v>207.87858257866188</v>
      </c>
      <c r="D7" s="32">
        <v>221.63201905371346</v>
      </c>
      <c r="E7" s="31">
        <v>238.6797852721298</v>
      </c>
      <c r="F7" s="31">
        <v>260.29542949685447</v>
      </c>
    </row>
    <row r="8" spans="1:6" x14ac:dyDescent="0.25">
      <c r="A8" s="30">
        <v>0.083801</v>
      </c>
      <c r="B8" s="31">
        <v>159.29807573387757</v>
      </c>
      <c r="C8" s="31">
        <v>166.30060759391586</v>
      </c>
      <c r="D8" s="31">
        <v>174.60275636873104</v>
      </c>
      <c r="E8" s="31">
        <v>184.56686204682998</v>
      </c>
      <c r="F8" s="31">
        <v>196.7037615690387</v>
      </c>
    </row>
    <row r="9" spans="1:6" x14ac:dyDescent="0.25">
      <c r="A9" s="30">
        <v>0.093801</v>
      </c>
      <c r="B9" s="31">
        <v>131.56369196322385</v>
      </c>
      <c r="C9" s="31">
        <v>136.0595995424616</v>
      </c>
      <c r="D9" s="31">
        <v>141.2969282500964</v>
      </c>
      <c r="E9" s="31">
        <v>147.44999066627543</v>
      </c>
      <c r="F9" s="31">
        <v>154.75238835607672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13210900000</v>
      </c>
      <c r="C5" s="18">
        <v>12076700000</v>
      </c>
      <c r="D5" s="18">
        <v>11390000000</v>
      </c>
      <c r="E5" s="18">
        <v>10487800000</v>
      </c>
      <c r="F5" s="6" t="s">
        <v>91</v>
      </c>
    </row>
    <row r="6" spans="1:6" x14ac:dyDescent="0.25">
      <c r="A6" t="s">
        <v>51</v>
      </c>
      <c r="B6" s="18">
        <v>1606600000</v>
      </c>
      <c r="C6" s="18">
        <v>1436300000</v>
      </c>
      <c r="D6" s="18">
        <v>1350900000</v>
      </c>
      <c r="E6" s="18">
        <v>1217100000</v>
      </c>
      <c r="F6" s="6" t="s">
        <v>92</v>
      </c>
    </row>
    <row r="7" spans="1:6" x14ac:dyDescent="0.25">
      <c r="A7" t="s">
        <v>93</v>
      </c>
      <c r="B7" s="18">
        <v>561100000</v>
      </c>
      <c r="C7" s="18">
        <v>516100000</v>
      </c>
      <c r="D7" s="18">
        <v>459900000</v>
      </c>
      <c r="E7" s="18">
        <v>387800000</v>
      </c>
      <c r="F7" s="6" t="s">
        <v>94</v>
      </c>
    </row>
    <row r="8" spans="1:6" x14ac:dyDescent="0.25">
      <c r="A8" t="s">
        <v>95</v>
      </c>
      <c r="B8" s="18">
        <v>760400000</v>
      </c>
      <c r="C8" s="18">
        <v>671900000</v>
      </c>
      <c r="D8" s="18">
        <v>628300000</v>
      </c>
      <c r="E8" s="18">
        <v>594300000</v>
      </c>
      <c r="F8" s="6" t="s">
        <v>96</v>
      </c>
    </row>
    <row r="9" spans="1:6" x14ac:dyDescent="0.25">
      <c r="A9" t="s">
        <v>97</v>
      </c>
      <c r="B9" s="18">
        <v>25200000</v>
      </c>
      <c r="C9" s="18">
        <v>-11500000</v>
      </c>
      <c r="D9" s="18">
        <v>-72000000</v>
      </c>
      <c r="E9" s="18">
        <v>-184700000</v>
      </c>
      <c r="F9" s="6" t="s">
        <v>98</v>
      </c>
    </row>
    <row r="10" spans="1:6" x14ac:dyDescent="0.25">
      <c r="A10" t="s">
        <v>99</v>
      </c>
      <c r="B10" s="18">
        <v>6324900000</v>
      </c>
      <c r="C10" s="18">
        <v>6229700000</v>
      </c>
      <c r="D10" s="18">
        <v>5427800000</v>
      </c>
      <c r="E10" s="18">
        <v>4793900000</v>
      </c>
      <c r="F10" s="6" t="s">
        <v>100</v>
      </c>
    </row>
    <row r="11" spans="1:6" x14ac:dyDescent="0.25">
      <c r="A11" t="s">
        <v>101</v>
      </c>
      <c r="B11" s="18">
        <v>219500000</v>
      </c>
      <c r="C11" s="18">
        <v>240000000</v>
      </c>
      <c r="D11" s="18">
        <v>194800000</v>
      </c>
      <c r="E11" s="18">
        <v>367800000</v>
      </c>
      <c r="F11" s="6" t="s">
        <v>102</v>
      </c>
    </row>
    <row r="12" spans="1:6" x14ac:dyDescent="0.25">
      <c r="A12" t="s">
        <v>34</v>
      </c>
      <c r="B12" s="34">
        <v>116300000</v>
      </c>
      <c r="C12" s="34">
        <v>118400000</v>
      </c>
      <c r="D12" s="34">
        <v>120800000</v>
      </c>
      <c r="E12" s="34">
        <v>122900000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