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<sst xmlns="http://schemas.openxmlformats.org/spreadsheetml/2006/main" count="113" uniqueCount="101">
  <si>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Deterra Royalties Limited (DRR.AX)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</si>
  <si>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</si>
  <si>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</si>
  <si>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</si>
  <si>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</si>
  <si>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</si>
  <si>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</si>
  <si>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</si>
  <si>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</si>
  <si>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</si>
  <si>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</si>
  <si>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</si>
  <si>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</si>
  <si>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</si>
  <si>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</si>
  <si>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</si>
  <si>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</si>
  <si>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</si>
  <si>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</si>
  <si>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</si>
  <si>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</si>
  <si>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</si>
  <si>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</si>
  <si>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</si>
  <si>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</si>
  <si>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</si>
  <si>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</si>
  <si>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</si>
  <si>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</si>
  <si>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</si>
  <si>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</si>
  <si>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</si>
  <si>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</si>
  <si>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</si>
  <si>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</si>
  <si>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</si>
  <si>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</si>
  <si>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</si>
  <si>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</si>
  <si>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</si>
  <si>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</si>
  <si>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</si>
  <si>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</si>
  <si>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</si>
  <si>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</si>
  <si>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</si>
  <si>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</si>
  <si>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</si>
  <si>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</si>
  <si>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</si>
  <si>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</si>
  <si>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</si>
  <si>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</si>
  <si>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</si>
  <si>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</si>
  <si>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</si>
  <si>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</si>
  <si>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</si>
  <si>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</si>
  <si>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</si>
  <si>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</si>
  <si>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</si>
  <si>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</si>
  <si>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</si>
  <si>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</si>
  <si>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</si>
  <si>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</si>
  <si>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</si>
  <si>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</si>
  <si>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</si>
  <si>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</si>
  <si>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</si>
  <si>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</si>
  <si>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</si>
  <si>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</si>
  <si>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</si>
  <si>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</si>
  <si>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</si>
  <si>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</si>
  <si>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</si>
  <si>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</si>
  <si>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</si>
  <si>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</si>
  <si>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</si>
  <si>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</si>
  <si>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</si>
  <si>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</si>
  <si>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</si>
  <si>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</si>
  <si>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</si>
  <si>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</si>
  <si>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</si>
  <si>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</si>
  <si>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</si>
  <si>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</si>
  <si>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</si>
  <si>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</si>
  <si>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</si>
  <si>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</si>
  <si>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just 0.20%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</si>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</sst>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0.01874521850881128</v>
      </c>
    </row>
    <row r="7" spans="1:2" x14ac:dyDescent="0.25">
      <c r="A7" t="s">
        <v>5</v>
      </c>
      <c r="B7" s="6">
        <v>0.9405640297638961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0.008374013359438753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0.8784291351685447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10.576856291936021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0.69783</v>
      </c>
      <c r="C19" s="8" t="s">
        <v>19</v>
      </c>
    </row>
    <row r="20" spans="1:2" x14ac:dyDescent="0.25">
      <c r="A20" t="s">
        <v>20</v>
      </c>
      <c r="B20" s="10">
        <f>B17+B19*B18</f>
        <v>0.0953498</v>
      </c>
    </row>
    <row r="21" spans="1:3" x14ac:dyDescent="0.25">
      <c r="A21" t="s">
        <v>21</v>
      </c>
      <c r="B21" s="6">
        <v>0.06013330537142232</v>
      </c>
      <c r="C21" s="8" t="s">
        <v>22</v>
      </c>
    </row>
    <row r="22" spans="1:2" x14ac:dyDescent="0.25">
      <c r="A22" t="s">
        <v>23</v>
      </c>
      <c r="B22" s="11">
        <v>2282171136</v>
      </c>
    </row>
    <row r="23" spans="1:2" x14ac:dyDescent="0.25">
      <c r="A23" t="s">
        <v>24</v>
      </c>
      <c r="B23" s="11">
        <v>143291000</v>
      </c>
    </row>
    <row r="24" spans="1:2" x14ac:dyDescent="0.25">
      <c r="A24" t="s">
        <v>25</v>
      </c>
      <c r="B24" s="10">
        <f>B22/(B22+B23)</f>
        <v>0.9409221863853495</v>
      </c>
    </row>
    <row r="25" spans="1:2" x14ac:dyDescent="0.25">
      <c r="A25" t="s">
        <v>26</v>
      </c>
      <c r="B25" s="10">
        <f>1-B24</f>
        <v>0.059077813614650476</v>
      </c>
    </row>
    <row r="26" spans="1:2" x14ac:dyDescent="0.25">
      <c r="A26" t="s">
        <v>27</v>
      </c>
      <c r="B26" s="12">
        <f>B24*B20+B25*B21*(1-B8)</f>
        <v>0.09220352323214182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242400000</v>
      </c>
      <c r="C29" s="8" t="s">
        <v>30</v>
      </c>
    </row>
    <row r="30" spans="1:2" x14ac:dyDescent="0.25">
      <c r="A30" t="s">
        <v>31</v>
      </c>
      <c r="B30" s="11">
        <v>132779000</v>
      </c>
    </row>
    <row r="31" spans="1:2" x14ac:dyDescent="0.25">
      <c r="A31" t="s">
        <v>32</v>
      </c>
      <c r="B31" s="13">
        <v>529456506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0.01874521850881128</v>
      </c>
      <c r="C5" s="10">
        <f>Assumptions!B6</f>
        <v>0.01874521850881128</v>
      </c>
      <c r="D5" s="10">
        <f>Assumptions!B6</f>
        <v>0.01874521850881128</v>
      </c>
      <c r="E5" s="10">
        <f>Assumptions!B6</f>
        <v>0.01874521850881128</v>
      </c>
      <c r="F5" s="10">
        <f>Assumptions!B6</f>
        <v>0.01874521850881128</v>
      </c>
    </row>
    <row r="6" spans="1:6" x14ac:dyDescent="0.25">
      <c r="A6" t="s">
        <v>43</v>
      </c>
      <c r="B6" s="18">
        <f>Assumptions!B29*(1+B5)</f>
        <v>246943840.96653587</v>
      </c>
      <c r="C6" s="18">
        <f>B6*(1+C5)</f>
        <v>251572857.22485873</v>
      </c>
      <c r="D6" s="18">
        <f>C6*(1+D5)</f>
        <v>256288645.4044247</v>
      </c>
      <c r="E6" s="18">
        <f>D6*(1+E5)</f>
        <v>261092832.06385788</v>
      </c>
      <c r="F6" s="18">
        <f>E6*(1+F5)</f>
        <v>265987074.25197926</v>
      </c>
    </row>
    <row r="7" spans="1:6" x14ac:dyDescent="0.25">
      <c r="A7" t="s">
        <v>5</v>
      </c>
      <c r="B7" s="10">
        <f>Assumptions!B7</f>
        <v>0.9405640297638961</v>
      </c>
      <c r="C7" s="10">
        <f>Assumptions!B7</f>
        <v>0.9405640297638961</v>
      </c>
      <c r="D7" s="10">
        <f>Assumptions!B7</f>
        <v>0.9405640297638961</v>
      </c>
      <c r="E7" s="10">
        <f>Assumptions!B7</f>
        <v>0.9405640297638961</v>
      </c>
      <c r="F7" s="10">
        <f>Assumptions!B7</f>
        <v>0.9405640297638961</v>
      </c>
    </row>
    <row r="8" spans="1:6" x14ac:dyDescent="0.25">
      <c r="A8" t="s">
        <v>44</v>
      </c>
      <c r="B8" s="18">
        <f>B6*B7</f>
        <v>232266494.18485966</v>
      </c>
      <c r="C8" s="18">
        <f>C6*C7</f>
        <v>236620380.3706304</v>
      </c>
      <c r="D8" s="18">
        <f>D6*D7</f>
        <v>241055881.1043159</v>
      </c>
      <c r="E8" s="18">
        <f>E6*E7</f>
        <v>245574526.26845035</v>
      </c>
      <c r="F8" s="18">
        <f>F6*F7</f>
        <v>250177874.42355025</v>
      </c>
    </row>
    <row r="9" spans="1:6" x14ac:dyDescent="0.25">
      <c r="A9" t="s">
        <v>45</v>
      </c>
      <c r="B9" s="18">
        <f>B8*(1-Assumptions!B8)</f>
        <v>162586545.92940176</v>
      </c>
      <c r="C9" s="18">
        <f>C8*(1-Assumptions!B8)</f>
        <v>165634266.2594413</v>
      </c>
      <c r="D9" s="18">
        <f>D8*(1-Assumptions!B8)</f>
        <v>168739116.77302113</v>
      </c>
      <c r="E9" s="18">
        <f>E8*(1-Assumptions!B8)</f>
        <v>171902168.38791522</v>
      </c>
      <c r="F9" s="18">
        <f>F8*(1-Assumptions!B8)</f>
        <v>175124512.09648517</v>
      </c>
    </row>
    <row r="10" spans="1:6" x14ac:dyDescent="0.25">
      <c r="A10" t="s">
        <v>46</v>
      </c>
      <c r="B10" s="18">
        <f>B6*Assumptions!B9</f>
        <v>2067911.02328489</v>
      </c>
      <c r="C10" s="18">
        <f>C6*Assumptions!B9</f>
        <v>2106674.467273145</v>
      </c>
      <c r="D10" s="18">
        <f>D6*Assumptions!B9</f>
        <v>2146164.540489114</v>
      </c>
      <c r="E10" s="18">
        <f>E6*Assumptions!B9</f>
        <v>2186394.863756445</v>
      </c>
      <c r="F10" s="18">
        <f>F6*Assumptions!B9</f>
        <v>2227379.313224102</v>
      </c>
    </row>
    <row r="11" spans="1:6" x14ac:dyDescent="0.25">
      <c r="A11" t="s">
        <v>47</v>
      </c>
      <c r="B11" s="18">
        <f>-B6*Assumptions!B10</f>
        <v>-2469438.4096653587</v>
      </c>
      <c r="C11" s="18">
        <f>-C6*Assumptions!B10</f>
        <v>-2515728.5722485874</v>
      </c>
      <c r="D11" s="18">
        <f>-D6*Assumptions!B10</f>
        <v>-2562886.454044247</v>
      </c>
      <c r="E11" s="18">
        <f>-E6*Assumptions!B10</f>
        <v>-2610928.320638579</v>
      </c>
      <c r="F11" s="18">
        <f>-F6*Assumptions!B10</f>
        <v>-2659870.7425197926</v>
      </c>
    </row>
    <row r="12" spans="1:6" x14ac:dyDescent="0.25">
      <c r="A12" t="s">
        <v>48</v>
      </c>
      <c r="B12" s="18">
        <f>-(B6-Assumptions!B29)*Assumptions!B11</f>
        <v>-3991442.2905775052</v>
      </c>
      <c r="C12" s="18">
        <f>-(C6-B6)*Assumptions!B11</f>
        <v>-4066262.7484796867</v>
      </c>
      <c r="D12" s="18">
        <f>-(D6-C6)*Assumptions!B11</f>
        <v>-4142485.7322141775</v>
      </c>
      <c r="E12" s="18">
        <f>-(E6-D6)*Assumptions!B11</f>
        <v>-4220137.532434153</v>
      </c>
      <c r="F12" s="18">
        <f>-(F6-E6)*Assumptions!B11</f>
        <v>-4299244.932616868</v>
      </c>
    </row>
    <row r="13" spans="1:6" x14ac:dyDescent="0.25">
      <c r="A13" s="19" t="s">
        <v>49</v>
      </c>
      <c r="B13" s="20">
        <f>B9+B10+B11+B12</f>
        <v>158193576.2524438</v>
      </c>
      <c r="C13" s="20">
        <f>C9+C10+C11+C12</f>
        <v>161158949.40598616</v>
      </c>
      <c r="D13" s="20">
        <f>D9+D10+D11+D12</f>
        <v>164179909.1272518</v>
      </c>
      <c r="E13" s="20">
        <f>E9+E10+E11+E12</f>
        <v>167257497.39859894</v>
      </c>
      <c r="F13" s="20">
        <f>F9+F10+F11+F12</f>
        <v>170392775.73457262</v>
      </c>
    </row>
    <row r="14" spans="1:6" x14ac:dyDescent="0.25">
      <c r="A14" t="s">
        <v>50</v>
      </c>
      <c r="B14" s="21">
        <f>1/(1+Assumptions!$B$26)^(1-0.5*Assumptions!$B$32)</f>
        <v>0.9568595889811774</v>
      </c>
      <c r="C14" s="21">
        <f>1/(1+Assumptions!$B$26)^(2-0.5*Assumptions!$B$32)</f>
        <v>0.8760817637261934</v>
      </c>
      <c r="D14" s="21">
        <f>1/(1+Assumptions!$B$26)^(3-0.5*Assumptions!$B$32)</f>
        <v>0.8021231804248511</v>
      </c>
      <c r="E14" s="21">
        <f>1/(1+Assumptions!$B$26)^(4-0.5*Assumptions!$B$32)</f>
        <v>0.7344081605332491</v>
      </c>
      <c r="F14" s="21">
        <f>1/(1+Assumptions!$B$26)^(5-0.5*Assumptions!$B$32)</f>
        <v>0.6724096241329874</v>
      </c>
    </row>
    <row r="15" spans="1:6" x14ac:dyDescent="0.25">
      <c r="A15" s="19" t="s">
        <v>51</v>
      </c>
      <c r="B15" s="20">
        <f>B13*B14</f>
        <v>151369040.35237592</v>
      </c>
      <c r="C15" s="20">
        <f>C13*C14</f>
        <v>141188416.63585672</v>
      </c>
      <c r="D15" s="20">
        <f>D13*D14</f>
        <v>131692510.87101425</v>
      </c>
      <c r="E15" s="20">
        <f>E13*E14</f>
        <v>122835270.99989974</v>
      </c>
      <c r="F15" s="20">
        <f>F13*F14</f>
        <v>114573742.2866604</v>
      </c>
    </row>
    <row r="17" spans="1:2" x14ac:dyDescent="0.25">
      <c r="A17" s="22" t="s">
        <v>52</v>
      </c>
      <c r="B17" s="23">
        <f>SUM(B15:F15)</f>
        <v>661658981.145807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170392775.73457262</v>
      </c>
    </row>
    <row r="5" spans="1:2" x14ac:dyDescent="0.25">
      <c r="A5" t="s">
        <v>56</v>
      </c>
      <c r="B5" s="18">
        <f>IF(Assumptions!$B$33=0,B4,B4-Forecast!F11-Forecast!F10-Forecast!F12)</f>
        <v>175124512.09648517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-7296854.670686883</v>
      </c>
    </row>
    <row r="8" spans="1:2" x14ac:dyDescent="0.25">
      <c r="A8" t="s">
        <v>59</v>
      </c>
      <c r="B8" s="18">
        <f>IF(OR(Assumptions!$B$33=0,Assumptions!B12&lt;=0),B5,MAX(B5+B7,0))</f>
        <v>167827657.4257983</v>
      </c>
    </row>
    <row r="9" spans="1:2" x14ac:dyDescent="0.25">
      <c r="A9" t="s">
        <v>60</v>
      </c>
      <c r="B9" s="18">
        <f>B8*(1+Assumptions!B12)/(Assumptions!B26-Assumptions!B12)</f>
        <v>2559737058.237575</v>
      </c>
    </row>
    <row r="10" spans="1:2" x14ac:dyDescent="0.25">
      <c r="A10" t="s">
        <v>61</v>
      </c>
      <c r="B10" s="18">
        <f>B9/(1+Assumptions!B26)^(5-0.5*Assumptions!B32)</f>
        <v>1721191833.2088068</v>
      </c>
    </row>
    <row r="11" spans="1:2" x14ac:dyDescent="0.25">
      <c r="A11" t="s">
        <v>62</v>
      </c>
      <c r="B11" s="18">
        <f>Forecast!B17+B10</f>
        <v>2382850814.354614</v>
      </c>
    </row>
    <row r="12" spans="1:2" x14ac:dyDescent="0.25">
      <c r="A12" t="s">
        <v>63</v>
      </c>
      <c r="B12" s="18">
        <f>-Assumptions!B30</f>
        <v>-132779000</v>
      </c>
    </row>
    <row r="13" spans="1:2" x14ac:dyDescent="0.25">
      <c r="A13" t="s">
        <v>64</v>
      </c>
      <c r="B13" s="18">
        <f>B11+B12</f>
        <v>2250071814.354614</v>
      </c>
    </row>
    <row r="14" spans="1:2" x14ac:dyDescent="0.25">
      <c r="A14" s="19" t="s">
        <v>65</v>
      </c>
      <c r="B14" s="24">
        <f>B13/Assumptions!B31</f>
        <v>4.249776495058526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252405253.73677436</v>
      </c>
    </row>
    <row r="18" spans="1:2" x14ac:dyDescent="0.25">
      <c r="A18" t="s">
        <v>60</v>
      </c>
      <c r="B18" s="18">
        <f>B17*Assumptions!B13</f>
        <v>2669654096.10351</v>
      </c>
    </row>
    <row r="19" spans="1:2" x14ac:dyDescent="0.25">
      <c r="A19" t="s">
        <v>61</v>
      </c>
      <c r="B19" s="18">
        <f>B18/(1+Assumptions!B26)^(5-0.5*Assumptions!B32)</f>
        <v>1795101107.3260515</v>
      </c>
    </row>
    <row r="20" spans="1:2" x14ac:dyDescent="0.25">
      <c r="A20" t="s">
        <v>62</v>
      </c>
      <c r="B20" s="18">
        <f>Forecast!B17+B19</f>
        <v>2456760088.4718585</v>
      </c>
    </row>
    <row r="21" spans="1:2" x14ac:dyDescent="0.25">
      <c r="A21" t="s">
        <v>63</v>
      </c>
      <c r="B21" s="18">
        <f>-Assumptions!B30</f>
        <v>-132779000</v>
      </c>
    </row>
    <row r="22" spans="1:2" x14ac:dyDescent="0.25">
      <c r="A22" t="s">
        <v>64</v>
      </c>
      <c r="B22" s="18">
        <f>B20+B21</f>
        <v>2323981088.4718585</v>
      </c>
    </row>
    <row r="23" spans="1:2" x14ac:dyDescent="0.25">
      <c r="A23" s="19" t="s">
        <v>65</v>
      </c>
      <c r="B23" s="25">
        <f>B22/Assumptions!B31</f>
        <v>4.389371104397872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4.249776495058526</v>
      </c>
    </row>
    <row r="29" spans="1:2" x14ac:dyDescent="0.25">
      <c r="A29" s="19" t="s">
        <v>73</v>
      </c>
      <c r="B29" s="12">
        <f>B28/B26-1</f>
        <v>-0.013972970984100552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0.072204</v>
      </c>
      <c r="B5" s="31">
        <v>5.23640254704273</v>
      </c>
      <c r="C5" s="31">
        <v>5.620097495718104</v>
      </c>
      <c r="D5" s="31">
        <v>6.084650172761884</v>
      </c>
      <c r="E5" s="31">
        <v>6.658798752885617</v>
      </c>
      <c r="F5" s="31">
        <v>7.386730381186586</v>
      </c>
    </row>
    <row r="6" spans="1:6" x14ac:dyDescent="0.25">
      <c r="A6" s="30">
        <v>0.082204</v>
      </c>
      <c r="B6" s="31">
        <v>4.439962584265241</v>
      </c>
      <c r="C6" s="31">
        <v>4.700834032172001</v>
      </c>
      <c r="D6" s="31">
        <v>5.006971497730159</v>
      </c>
      <c r="E6" s="31">
        <v>5.371381460611221</v>
      </c>
      <c r="F6" s="31">
        <v>5.81258115367349</v>
      </c>
    </row>
    <row r="7" spans="1:6" x14ac:dyDescent="0.25">
      <c r="A7" s="30">
        <v>0.092204</v>
      </c>
      <c r="B7" s="31">
        <v>3.849800547945036</v>
      </c>
      <c r="C7" s="31">
        <v>4.036053746572065</v>
      </c>
      <c r="D7" s="32">
        <v>4.249745758597568</v>
      </c>
      <c r="E7" s="31">
        <v>4.497493235699521</v>
      </c>
      <c r="F7" s="31">
        <v>4.788226182355705</v>
      </c>
    </row>
    <row r="8" spans="1:6" x14ac:dyDescent="0.25">
      <c r="A8" s="30">
        <v>0.102204</v>
      </c>
      <c r="B8" s="31">
        <v>3.394951741034979</v>
      </c>
      <c r="C8" s="31">
        <v>3.5328878290458166</v>
      </c>
      <c r="D8" s="31">
        <v>3.6884599421012605</v>
      </c>
      <c r="E8" s="31">
        <v>3.8653318713440337</v>
      </c>
      <c r="F8" s="31">
        <v>4.0682577570456955</v>
      </c>
    </row>
    <row r="9" spans="1:6" x14ac:dyDescent="0.25">
      <c r="A9" s="30">
        <v>0.112204</v>
      </c>
      <c r="B9" s="31">
        <v>3.03365391718402</v>
      </c>
      <c r="C9" s="31">
        <v>3.1387557044503547</v>
      </c>
      <c r="D9" s="31">
        <v>3.25571402564199</v>
      </c>
      <c r="E9" s="31">
        <v>3.386692376560585</v>
      </c>
      <c r="F9" s="31">
        <v>3.5344147151086363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242400000</v>
      </c>
      <c r="C5" s="18">
        <v>263433000</v>
      </c>
      <c r="D5" s="18">
        <v>240509000</v>
      </c>
      <c r="E5" s="18">
        <v>229264000</v>
      </c>
      <c r="F5" s="8" t="s">
        <v>84</v>
      </c>
    </row>
    <row r="6" spans="1:6" x14ac:dyDescent="0.25">
      <c r="A6" t="s">
        <v>44</v>
      </c>
      <c r="B6" s="18">
        <v>226919000</v>
      </c>
      <c r="C6" s="18">
        <v>243796000</v>
      </c>
      <c r="D6" s="18">
        <v>227443000</v>
      </c>
      <c r="E6" s="18">
        <v>218945000</v>
      </c>
      <c r="F6" s="8" t="s">
        <v>85</v>
      </c>
    </row>
    <row r="7" spans="1:6" x14ac:dyDescent="0.25">
      <c r="A7" t="s">
        <v>86</v>
      </c>
      <c r="B7" s="18">
        <v>1405000</v>
      </c>
      <c r="C7" s="18">
        <v>6336000</v>
      </c>
      <c r="D7" s="18">
        <v>462000</v>
      </c>
      <c r="E7" s="18">
        <v>396000</v>
      </c>
      <c r="F7" s="8" t="s">
        <v>87</v>
      </c>
    </row>
    <row r="8" spans="1:6" x14ac:dyDescent="0.25">
      <c r="A8" t="s">
        <v>88</v>
      </c>
      <c r="B8" s="18">
        <v>14000</v>
      </c>
      <c r="C8" s="18">
        <v>1931000</v>
      </c>
      <c r="D8" s="18">
        <v>88000</v>
      </c>
      <c r="E8" s="18">
        <v>89000</v>
      </c>
      <c r="F8" s="8" t="s">
        <v>89</v>
      </c>
    </row>
    <row r="9" spans="1:6" x14ac:dyDescent="0.25">
      <c r="A9" t="s">
        <v>90</v>
      </c>
      <c r="B9" s="18">
        <v>-18476000</v>
      </c>
      <c r="C9" s="18">
        <v>22055000</v>
      </c>
      <c r="D9" s="18">
        <v>-14510000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143291000</v>
      </c>
      <c r="C10" s="18">
        <v>295401000</v>
      </c>
      <c r="D10" s="18">
        <v>497000</v>
      </c>
      <c r="E10" s="18">
        <v>186000</v>
      </c>
      <c r="F10" s="8" t="s">
        <v>93</v>
      </c>
    </row>
    <row r="11" spans="1:6" x14ac:dyDescent="0.25">
      <c r="A11" t="s">
        <v>94</v>
      </c>
      <c r="B11" s="18">
        <v>10512000</v>
      </c>
      <c r="C11" s="18">
        <v>24394000</v>
      </c>
      <c r="D11" s="18">
        <v>31064000</v>
      </c>
      <c r="E11" s="18">
        <v>29491000</v>
      </c>
      <c r="F11" s="8" t="s">
        <v>95</v>
      </c>
    </row>
    <row r="12" spans="1:6" x14ac:dyDescent="0.25">
      <c r="A12" t="s">
        <v>32</v>
      </c>
      <c r="B12" s="34">
        <v>529456506</v>
      </c>
      <c r="C12" s="34">
        <v>529755019</v>
      </c>
      <c r="D12" s="34">
        <v>529524786</v>
      </c>
      <c r="E12" s="34">
        <v>528817204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2026-09-19T01:04:46Z</dcterms:modified>
</cp:coreProperties>
</file>