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<sst xmlns="http://schemas.openxmlformats.org/spreadsheetml/2006/main" count="112" uniqueCount="100">
  <si>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DSM-Firmenich AG (DSFIR.AS)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</si>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</sst>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0.024957934515442703</v>
      </c>
    </row>
    <row r="7" spans="1:2" x14ac:dyDescent="0.25">
      <c r="A7" t="s">
        <v>5</v>
      </c>
      <c r="B7" s="6">
        <v>0.040353464690669805</v>
      </c>
    </row>
    <row r="8" spans="1:2" x14ac:dyDescent="0.25">
      <c r="A8" t="s">
        <v>6</v>
      </c>
      <c r="B8" s="6">
        <v>0.20774647887323944</v>
      </c>
    </row>
    <row r="9" spans="1:2" x14ac:dyDescent="0.25">
      <c r="A9" t="s">
        <v>7</v>
      </c>
      <c r="B9" s="6">
        <v>0.1616261688572691</v>
      </c>
    </row>
    <row r="10" spans="1:2" x14ac:dyDescent="0.25">
      <c r="A10" t="s">
        <v>8</v>
      </c>
      <c r="B10" s="6">
        <v>0.08030266311855122</v>
      </c>
    </row>
    <row r="11" spans="1:2" x14ac:dyDescent="0.25">
      <c r="A11" t="s">
        <v>9</v>
      </c>
      <c r="B11" s="6">
        <v>-0.07152436298614215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6.92055421204049</v>
      </c>
    </row>
    <row r="14" spans="1:3" x14ac:dyDescent="0.25">
      <c r="A14" t="s">
        <v>12</v>
      </c>
      <c r="B14" s="6">
        <v>0.07779398150994832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0.71056</v>
      </c>
      <c r="C19" s="8" t="s">
        <v>19</v>
      </c>
    </row>
    <row r="20" spans="1:2" x14ac:dyDescent="0.25">
      <c r="A20" t="s">
        <v>20</v>
      </c>
      <c r="B20" s="10">
        <f>B17+B19*B18</f>
        <v>0.0881864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22605760512</v>
      </c>
    </row>
    <row r="23" spans="1:2" x14ac:dyDescent="0.25">
      <c r="A23" t="s">
        <v>24</v>
      </c>
      <c r="B23" s="11">
        <v>5277000000</v>
      </c>
    </row>
    <row r="24" spans="1:2" x14ac:dyDescent="0.25">
      <c r="A24" t="s">
        <v>25</v>
      </c>
      <c r="B24" s="10">
        <f>B22/(B22+B23)</f>
        <v>0.8107432727929174</v>
      </c>
    </row>
    <row r="25" spans="1:2" x14ac:dyDescent="0.25">
      <c r="A25" t="s">
        <v>26</v>
      </c>
      <c r="B25" s="10">
        <f>1-B24</f>
        <v>0.18925672720708264</v>
      </c>
    </row>
    <row r="26" spans="1:2" x14ac:dyDescent="0.25">
      <c r="A26" t="s">
        <v>27</v>
      </c>
      <c r="B26" s="12">
        <f>B24*B20+B25*B21*(1-B8)</f>
        <v>0.07779398150994832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9034000000</v>
      </c>
      <c r="C29" s="8" t="s">
        <v>30</v>
      </c>
    </row>
    <row r="30" spans="1:2" x14ac:dyDescent="0.25">
      <c r="A30" t="s">
        <v>31</v>
      </c>
      <c r="B30" s="11">
        <v>3374000000</v>
      </c>
    </row>
    <row r="31" spans="1:2" x14ac:dyDescent="0.25">
      <c r="A31" t="s">
        <v>32</v>
      </c>
      <c r="B31" s="13">
        <v>259400000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0.024957934515442703</v>
      </c>
      <c r="C5" s="10">
        <f>Assumptions!B6</f>
        <v>0.024957934515442703</v>
      </c>
      <c r="D5" s="10">
        <f>Assumptions!B6</f>
        <v>0.024957934515442703</v>
      </c>
      <c r="E5" s="10">
        <f>Assumptions!B6</f>
        <v>0.024957934515442703</v>
      </c>
      <c r="F5" s="10">
        <f>Assumptions!B6</f>
        <v>0.024957934515442703</v>
      </c>
    </row>
    <row r="6" spans="1:6" x14ac:dyDescent="0.25">
      <c r="A6" t="s">
        <v>43</v>
      </c>
      <c r="B6" s="18">
        <f>Assumptions!B29*(1+B5)</f>
        <v>9259469980.41251</v>
      </c>
      <c r="C6" s="18">
        <f>B6*(1+C5)</f>
        <v>9490567225.831352</v>
      </c>
      <c r="D6" s="18">
        <f>C6*(1+D5)</f>
        <v>9727432181.168058</v>
      </c>
      <c r="E6" s="18">
        <f>D6*(1+E5)</f>
        <v>9970208796.54906</v>
      </c>
      <c r="F6" s="18">
        <f>E6*(1+F5)</f>
        <v>10219044614.798624</v>
      </c>
    </row>
    <row r="7" spans="1:6" x14ac:dyDescent="0.25">
      <c r="A7" t="s">
        <v>5</v>
      </c>
      <c r="B7" s="10">
        <f>Assumptions!B7</f>
        <v>0.040353464690669805</v>
      </c>
      <c r="C7" s="10">
        <f>Assumptions!B7</f>
        <v>0.040353464690669805</v>
      </c>
      <c r="D7" s="10">
        <f>Assumptions!B7</f>
        <v>0.040353464690669805</v>
      </c>
      <c r="E7" s="10">
        <f>Assumptions!B7</f>
        <v>0.040353464690669805</v>
      </c>
      <c r="F7" s="10">
        <f>Assumptions!B7</f>
        <v>0.040353464690669805</v>
      </c>
    </row>
    <row r="8" spans="1:6" x14ac:dyDescent="0.25">
      <c r="A8" t="s">
        <v>44</v>
      </c>
      <c r="B8" s="18">
        <f>B6*B7</f>
        <v>373651694.9088932</v>
      </c>
      <c r="C8" s="18">
        <f>C6*C7</f>
        <v>382977269.44201356</v>
      </c>
      <c r="D8" s="18">
        <f>D6*D7</f>
        <v>392535591.0536504</v>
      </c>
      <c r="E8" s="18">
        <f>E6*E7</f>
        <v>402332468.630148</v>
      </c>
      <c r="F8" s="18">
        <f>F6*F7</f>
        <v>412373856.0356557</v>
      </c>
    </row>
    <row r="9" spans="1:6" x14ac:dyDescent="0.25">
      <c r="A9" t="s">
        <v>45</v>
      </c>
      <c r="B9" s="18">
        <f>B8*(1-Assumptions!B8)</f>
        <v>296026870.96655273</v>
      </c>
      <c r="C9" s="18">
        <f>C8*(1-Assumptions!B8)</f>
        <v>303415090.22694737</v>
      </c>
      <c r="D9" s="18">
        <f>D8*(1-Assumptions!B8)</f>
        <v>310987704.17982864</v>
      </c>
      <c r="E9" s="18">
        <f>E8*(1-Assumptions!B8)</f>
        <v>318749314.93585664</v>
      </c>
      <c r="F9" s="18">
        <f>F8*(1-Assumptions!B8)</f>
        <v>326704639.464868</v>
      </c>
    </row>
    <row r="10" spans="1:6" x14ac:dyDescent="0.25">
      <c r="A10" t="s">
        <v>46</v>
      </c>
      <c r="B10" s="18">
        <f>B6*Assumptions!B9</f>
        <v>1496572658.5829666</v>
      </c>
      <c r="C10" s="18">
        <f>C6*Assumptions!B9</f>
        <v>1533924020.993482</v>
      </c>
      <c r="D10" s="18">
        <f>D6*Assumptions!B9</f>
        <v>1572207596.2611022</v>
      </c>
      <c r="E10" s="18">
        <f>E6*Assumptions!B9</f>
        <v>1611446650.4932683</v>
      </c>
      <c r="F10" s="18">
        <f>F6*Assumptions!B9</f>
        <v>1651665030.4714088</v>
      </c>
    </row>
    <row r="11" spans="1:6" x14ac:dyDescent="0.25">
      <c r="A11" t="s">
        <v>47</v>
      </c>
      <c r="B11" s="18">
        <f>-B6*Assumptions!B10</f>
        <v>-743560098.4934039</v>
      </c>
      <c r="C11" s="18">
        <f>-C6*Assumptions!B10</f>
        <v>-762117822.7398983</v>
      </c>
      <c r="D11" s="18">
        <f>-D6*Assumptions!B10</f>
        <v>-781138709.4528925</v>
      </c>
      <c r="E11" s="18">
        <f>-E6*Assumptions!B10</f>
        <v>-800634318.2108952</v>
      </c>
      <c r="F11" s="18">
        <f>-F6*Assumptions!B10</f>
        <v>-820616497.095619</v>
      </c>
    </row>
    <row r="12" spans="1:6" x14ac:dyDescent="0.25">
      <c r="A12" t="s">
        <v>48</v>
      </c>
      <c r="B12" s="18">
        <f>-(B6-Assumptions!B29)*Assumptions!B11</f>
        <v>16126596.72150272</v>
      </c>
      <c r="C12" s="18">
        <f>-(C6-B6)*Assumptions!B11</f>
        <v>16529083.266434854</v>
      </c>
      <c r="D12" s="18">
        <f>-(D6-C6)*Assumptions!B11</f>
        <v>16941615.04419892</v>
      </c>
      <c r="E12" s="18">
        <f>-(E6-D6)*Assumptions!B11</f>
        <v>17364442.76305784</v>
      </c>
      <c r="F12" s="18">
        <f>-(F6-E6)*Assumptions!B11</f>
        <v>17797823.388435453</v>
      </c>
    </row>
    <row r="13" spans="1:6" x14ac:dyDescent="0.25">
      <c r="A13" s="19" t="s">
        <v>49</v>
      </c>
      <c r="B13" s="20">
        <f>B9+B10+B11+B12</f>
        <v>1065166027.777618</v>
      </c>
      <c r="C13" s="20">
        <f>C9+C10+C11+C12</f>
        <v>1091750371.7469661</v>
      </c>
      <c r="D13" s="20">
        <f>D9+D10+D11+D12</f>
        <v>1118998206.0322373</v>
      </c>
      <c r="E13" s="20">
        <f>E9+E10+E11+E12</f>
        <v>1146926089.9812877</v>
      </c>
      <c r="F13" s="20">
        <f>F9+F10+F11+F12</f>
        <v>1175550996.2290933</v>
      </c>
    </row>
    <row r="14" spans="1:6" x14ac:dyDescent="0.25">
      <c r="A14" t="s">
        <v>50</v>
      </c>
      <c r="B14" s="21">
        <f>1/(1+Assumptions!$B$26)^(1-0.5*Assumptions!$B$32)</f>
        <v>0.9632347078056646</v>
      </c>
      <c r="C14" s="21">
        <f>1/(1+Assumptions!$B$26)^(2-0.5*Assumptions!$B$32)</f>
        <v>0.8937094883905453</v>
      </c>
      <c r="D14" s="21">
        <f>1/(1+Assumptions!$B$26)^(3-0.5*Assumptions!$B$32)</f>
        <v>0.8292025226736677</v>
      </c>
      <c r="E14" s="21">
        <f>1/(1+Assumptions!$B$26)^(4-0.5*Assumptions!$B$32)</f>
        <v>0.7693515986348213</v>
      </c>
      <c r="F14" s="21">
        <f>1/(1+Assumptions!$B$26)^(5-0.5*Assumptions!$B$32)</f>
        <v>0.7138206483181406</v>
      </c>
    </row>
    <row r="15" spans="1:6" x14ac:dyDescent="0.25">
      <c r="A15" s="19" t="s">
        <v>51</v>
      </c>
      <c r="B15" s="20">
        <f>B13*B14</f>
        <v>1026004887.5308943</v>
      </c>
      <c r="C15" s="20">
        <f>C13*C14</f>
        <v>975707666.1841687</v>
      </c>
      <c r="D15" s="20">
        <f>D13*D14</f>
        <v>927876135.3092397</v>
      </c>
      <c r="E15" s="20">
        <f>E13*E14</f>
        <v>882389420.8430886</v>
      </c>
      <c r="F15" s="20">
        <f>F13*F14</f>
        <v>839132574.2592875</v>
      </c>
    </row>
    <row r="17" spans="1:2" x14ac:dyDescent="0.25">
      <c r="A17" s="22" t="s">
        <v>52</v>
      </c>
      <c r="B17" s="23">
        <f>SUM(B15:F15)</f>
        <v>4651110684.126679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1175550996.2290933</v>
      </c>
    </row>
    <row r="5" spans="1:2" x14ac:dyDescent="0.25">
      <c r="A5" t="s">
        <v>56</v>
      </c>
      <c r="B5" s="18">
        <f>IF(Assumptions!$B$33=0,B4,B4-Forecast!F11-Forecast!F10-Forecast!F12)</f>
        <v>553695800.0182823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0.3213616209732496</v>
      </c>
    </row>
    <row r="7" spans="1:2" x14ac:dyDescent="0.25">
      <c r="A7" t="s">
        <v>58</v>
      </c>
      <c r="B7" s="18">
        <f>-MAX(Forecast!F9,0)*B6</f>
        <v>-177936579.81995544</v>
      </c>
    </row>
    <row r="8" spans="1:2" x14ac:dyDescent="0.25">
      <c r="A8" t="s">
        <v>59</v>
      </c>
      <c r="B8" s="18">
        <f>IF(OR(Assumptions!$B$33=0,Assumptions!B12&lt;=0),B5,MAX(B5+B7,0))</f>
        <v>375759220.1983268</v>
      </c>
    </row>
    <row r="9" spans="1:2" x14ac:dyDescent="0.25">
      <c r="A9" t="s">
        <v>60</v>
      </c>
      <c r="B9" s="18">
        <f>B8*(1+Assumptions!B12)/(Assumptions!B26-Assumptions!B12)</f>
        <v>7295399772.618173</v>
      </c>
    </row>
    <row r="10" spans="1:2" x14ac:dyDescent="0.25">
      <c r="A10" t="s">
        <v>61</v>
      </c>
      <c r="B10" s="18">
        <f>B9/(1+Assumptions!B26)^(5-0.5*Assumptions!B32)</f>
        <v>5207606995.43032</v>
      </c>
    </row>
    <row r="11" spans="1:2" x14ac:dyDescent="0.25">
      <c r="A11" t="s">
        <v>62</v>
      </c>
      <c r="B11" s="18">
        <f>Forecast!B17+B10</f>
        <v>9858717679.557</v>
      </c>
    </row>
    <row r="12" spans="1:2" x14ac:dyDescent="0.25">
      <c r="A12" t="s">
        <v>63</v>
      </c>
      <c r="B12" s="18">
        <f>-Assumptions!B30</f>
        <v>-3374000000</v>
      </c>
    </row>
    <row r="13" spans="1:2" x14ac:dyDescent="0.25">
      <c r="A13" t="s">
        <v>64</v>
      </c>
      <c r="B13" s="18">
        <f>B11+B12</f>
        <v>6484717679.556999</v>
      </c>
    </row>
    <row r="14" spans="1:2" x14ac:dyDescent="0.25">
      <c r="A14" s="19" t="s">
        <v>65</v>
      </c>
      <c r="B14" s="24">
        <f>B13/Assumptions!B31</f>
        <v>24.998911640543557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2064038886.5070646</v>
      </c>
    </row>
    <row r="18" spans="1:2" x14ac:dyDescent="0.25">
      <c r="A18" t="s">
        <v>60</v>
      </c>
      <c r="B18" s="18">
        <f>B17*Assumptions!B13</f>
        <v>14284293009.83183</v>
      </c>
    </row>
    <row r="19" spans="1:2" x14ac:dyDescent="0.25">
      <c r="A19" t="s">
        <v>61</v>
      </c>
      <c r="B19" s="18">
        <f>B18/(1+Assumptions!B26)^(5-0.5*Assumptions!B32)</f>
        <v>10196423297.044441</v>
      </c>
    </row>
    <row r="20" spans="1:2" x14ac:dyDescent="0.25">
      <c r="A20" t="s">
        <v>62</v>
      </c>
      <c r="B20" s="18">
        <f>Forecast!B17+B19</f>
        <v>14847533981.17112</v>
      </c>
    </row>
    <row r="21" spans="1:2" x14ac:dyDescent="0.25">
      <c r="A21" t="s">
        <v>63</v>
      </c>
      <c r="B21" s="18">
        <f>-Assumptions!B30</f>
        <v>-3374000000</v>
      </c>
    </row>
    <row r="22" spans="1:2" x14ac:dyDescent="0.25">
      <c r="A22" t="s">
        <v>64</v>
      </c>
      <c r="B22" s="18">
        <f>B20+B21</f>
        <v>11473533981.17112</v>
      </c>
    </row>
    <row r="23" spans="1:2" x14ac:dyDescent="0.25">
      <c r="A23" s="19" t="s">
        <v>65</v>
      </c>
      <c r="B23" s="25">
        <f>B22/Assumptions!B31</f>
        <v>44.23104850104518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92.16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24.998911640543557</v>
      </c>
    </row>
    <row r="29" spans="1:2" x14ac:dyDescent="0.25">
      <c r="A29" s="19" t="s">
        <v>73</v>
      </c>
      <c r="B29" s="12">
        <f>B28/B26-1</f>
        <v>-0.7287444483447965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0.057794</v>
      </c>
      <c r="B5" s="31">
        <v>34.86667367282257</v>
      </c>
      <c r="C5" s="31">
        <v>35.01008503515975</v>
      </c>
      <c r="D5" s="31">
        <v>35.15349639749691</v>
      </c>
      <c r="E5" s="31">
        <v>35.296907759834085</v>
      </c>
      <c r="F5" s="31">
        <v>35.440319122171246</v>
      </c>
    </row>
    <row r="6" spans="1:6" x14ac:dyDescent="0.25">
      <c r="A6" s="30">
        <v>0.067794</v>
      </c>
      <c r="B6" s="31">
        <v>29.119832382705713</v>
      </c>
      <c r="C6" s="31">
        <v>29.23702125090583</v>
      </c>
      <c r="D6" s="31">
        <v>29.354210119105936</v>
      </c>
      <c r="E6" s="31">
        <v>29.47139898730604</v>
      </c>
      <c r="F6" s="31">
        <v>29.58858785550615</v>
      </c>
    </row>
    <row r="7" spans="1:6" x14ac:dyDescent="0.25">
      <c r="A7" s="30">
        <v>0.077794</v>
      </c>
      <c r="B7" s="31">
        <v>24.80304526759341</v>
      </c>
      <c r="C7" s="31">
        <v>24.900974924318376</v>
      </c>
      <c r="D7" s="32">
        <v>24.99890458104333</v>
      </c>
      <c r="E7" s="31">
        <v>25.096834237768295</v>
      </c>
      <c r="F7" s="31">
        <v>25.194763894493246</v>
      </c>
    </row>
    <row r="8" spans="1:6" x14ac:dyDescent="0.25">
      <c r="A8" s="30">
        <v>0.087794</v>
      </c>
      <c r="B8" s="31">
        <v>21.430110221986556</v>
      </c>
      <c r="C8" s="31">
        <v>21.513352979782415</v>
      </c>
      <c r="D8" s="31">
        <v>21.596595737578276</v>
      </c>
      <c r="E8" s="31">
        <v>21.679838495374128</v>
      </c>
      <c r="F8" s="31">
        <v>21.76308125316998</v>
      </c>
    </row>
    <row r="9" spans="1:6" x14ac:dyDescent="0.25">
      <c r="A9" s="30">
        <v>0.097794</v>
      </c>
      <c r="B9" s="31">
        <v>18.713543716956014</v>
      </c>
      <c r="C9" s="31">
        <v>18.785259577500295</v>
      </c>
      <c r="D9" s="31">
        <v>18.85697543804457</v>
      </c>
      <c r="E9" s="31">
        <v>18.928691298588852</v>
      </c>
      <c r="F9" s="31">
        <v>19.000407159133136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9034000000</v>
      </c>
      <c r="C5" s="18">
        <v>9054000000</v>
      </c>
      <c r="D5" s="18">
        <v>10627000000</v>
      </c>
      <c r="E5" s="18">
        <v>8390000000</v>
      </c>
      <c r="F5" s="8" t="s">
        <v>84</v>
      </c>
    </row>
    <row r="6" spans="1:6" x14ac:dyDescent="0.25">
      <c r="A6" t="s">
        <v>44</v>
      </c>
      <c r="B6" s="18">
        <v>632000000</v>
      </c>
      <c r="C6" s="18">
        <v>551000000</v>
      </c>
      <c r="D6" s="18">
        <v>-507000000</v>
      </c>
      <c r="E6" s="18">
        <v>657000000</v>
      </c>
      <c r="F6" s="8" t="s">
        <v>85</v>
      </c>
    </row>
    <row r="7" spans="1:6" x14ac:dyDescent="0.25">
      <c r="A7" t="s">
        <v>86</v>
      </c>
      <c r="B7" s="18">
        <v>3122000000</v>
      </c>
      <c r="C7" s="18">
        <v>1186000000</v>
      </c>
      <c r="D7" s="18">
        <v>980000000</v>
      </c>
      <c r="E7" s="18">
        <v>652000000</v>
      </c>
      <c r="F7" s="8" t="s">
        <v>87</v>
      </c>
    </row>
    <row r="8" spans="1:6" x14ac:dyDescent="0.25">
      <c r="A8" t="s">
        <v>88</v>
      </c>
      <c r="B8" s="18">
        <v>794000000</v>
      </c>
      <c r="C8" s="18">
        <v>772000000</v>
      </c>
      <c r="D8" s="18">
        <v>707000000</v>
      </c>
      <c r="E8" s="18">
        <v>684000000</v>
      </c>
      <c r="F8" s="8" t="s">
        <v>89</v>
      </c>
    </row>
    <row r="9" spans="1:6" x14ac:dyDescent="0.25">
      <c r="A9" t="s">
        <v>90</v>
      </c>
      <c r="B9" s="18">
        <v>210000000</v>
      </c>
      <c r="C9" s="18">
        <v>-198000000</v>
      </c>
      <c r="D9" s="18">
        <v>-160000000</v>
      </c>
      <c r="E9" s="18">
        <v>497000000</v>
      </c>
      <c r="F9" s="8" t="s">
        <v>91</v>
      </c>
    </row>
    <row r="10" spans="1:6" x14ac:dyDescent="0.25">
      <c r="A10" t="s">
        <v>92</v>
      </c>
      <c r="B10" s="18">
        <v>5277000000</v>
      </c>
      <c r="C10" s="18">
        <v>5280000000</v>
      </c>
      <c r="D10" s="18">
        <v>4830000000</v>
      </c>
      <c r="E10" s="18">
        <v>3064000000</v>
      </c>
      <c r="F10" s="8" t="s">
        <v>93</v>
      </c>
    </row>
    <row r="11" spans="1:6" x14ac:dyDescent="0.25">
      <c r="A11" t="s">
        <v>94</v>
      </c>
      <c r="B11" s="18">
        <v>1903000000</v>
      </c>
      <c r="C11" s="18">
        <v>2717000000</v>
      </c>
      <c r="D11" s="18">
        <v>2563000000</v>
      </c>
      <c r="E11" s="18">
        <v>2880000000</v>
      </c>
      <c r="F11" s="8" t="s">
        <v>95</v>
      </c>
    </row>
    <row r="12" spans="1:6" x14ac:dyDescent="0.25">
      <c r="A12" t="s">
        <v>32</v>
      </c>
      <c r="B12" s="34">
        <v>259400000</v>
      </c>
      <c r="C12" s="34">
        <v>264600000</v>
      </c>
      <c r="D12" s="34">
        <v>233400000</v>
      </c>
      <c r="E12" s="34">
        <v>150742711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