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<sst xmlns="http://schemas.openxmlformats.org/spreadsheetml/2006/main" count="112" uniqueCount="100">
  <si>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Dassault Systèmes SE (DSY.PA)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</si>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</sst>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0.032499830105467975</v>
      </c>
    </row>
    <row r="7" spans="1:2" x14ac:dyDescent="0.25">
      <c r="A7" t="s">
        <v>5</v>
      </c>
      <c r="B7" s="6">
        <v>0.2234751141642928</v>
      </c>
    </row>
    <row r="8" spans="1:2" x14ac:dyDescent="0.25">
      <c r="A8" t="s">
        <v>6</v>
      </c>
      <c r="B8" s="6">
        <v>0.19104513727406996</v>
      </c>
    </row>
    <row r="9" spans="1:2" x14ac:dyDescent="0.25">
      <c r="A9" t="s">
        <v>7</v>
      </c>
      <c r="B9" s="6">
        <v>0.09640949841311032</v>
      </c>
    </row>
    <row r="10" spans="1:2" x14ac:dyDescent="0.25">
      <c r="A10" t="s">
        <v>8</v>
      </c>
      <c r="B10" s="6">
        <v>0.02615792270704053</v>
      </c>
    </row>
    <row r="11" spans="1:2" x14ac:dyDescent="0.25">
      <c r="A11" t="s">
        <v>9</v>
      </c>
      <c r="B11" s="6">
        <v>0.5225019069412662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13.383017388178503</v>
      </c>
    </row>
    <row r="14" spans="1:3" x14ac:dyDescent="0.25">
      <c r="A14" t="s">
        <v>12</v>
      </c>
      <c r="B14" s="6">
        <v>0.09774718858226195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0.70051</v>
      </c>
      <c r="C19" s="8" t="s">
        <v>19</v>
      </c>
    </row>
    <row r="20" spans="1:2" x14ac:dyDescent="0.25">
      <c r="A20" t="s">
        <v>20</v>
      </c>
      <c r="B20" s="10">
        <f>B17+B19*B18</f>
        <v>0.0740306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27016949760</v>
      </c>
    </row>
    <row r="23" spans="1:2" x14ac:dyDescent="0.25">
      <c r="A23" t="s">
        <v>24</v>
      </c>
      <c r="B23" s="11">
        <v>3169200000</v>
      </c>
    </row>
    <row r="24" spans="1:2" x14ac:dyDescent="0.25">
      <c r="A24" t="s">
        <v>25</v>
      </c>
      <c r="B24" s="10">
        <f>B22/(B22+B23)</f>
        <v>0.8950114530936456</v>
      </c>
    </row>
    <row r="25" spans="1:2" x14ac:dyDescent="0.25">
      <c r="A25" t="s">
        <v>26</v>
      </c>
      <c r="B25" s="10">
        <f>1-B24</f>
        <v>0.1049885469063544</v>
      </c>
    </row>
    <row r="26" spans="1:2" x14ac:dyDescent="0.25">
      <c r="A26" t="s">
        <v>27</v>
      </c>
      <c r="B26" s="12">
        <f>B24*B20+B25*B21*(1-B8)</f>
        <v>0.06897602673700803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6235700000</v>
      </c>
      <c r="C29" s="8" t="s">
        <v>30</v>
      </c>
    </row>
    <row r="30" spans="1:2" x14ac:dyDescent="0.25">
      <c r="A30" t="s">
        <v>31</v>
      </c>
      <c r="B30" s="11">
        <v>-956200000</v>
      </c>
    </row>
    <row r="31" spans="1:2" x14ac:dyDescent="0.25">
      <c r="A31" t="s">
        <v>32</v>
      </c>
      <c r="B31" s="13">
        <v>1328450523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0.032499830105467975</v>
      </c>
      <c r="C5" s="10">
        <f>Assumptions!B6</f>
        <v>0.032499830105467975</v>
      </c>
      <c r="D5" s="10">
        <f>Assumptions!B6</f>
        <v>0.032499830105467975</v>
      </c>
      <c r="E5" s="10">
        <f>Assumptions!B6</f>
        <v>0.032499830105467975</v>
      </c>
      <c r="F5" s="10">
        <f>Assumptions!B6</f>
        <v>0.032499830105467975</v>
      </c>
    </row>
    <row r="6" spans="1:6" x14ac:dyDescent="0.25">
      <c r="A6" t="s">
        <v>43</v>
      </c>
      <c r="B6" s="18">
        <f>Assumptions!B29*(1+B5)</f>
        <v>6438359190.588667</v>
      </c>
      <c r="C6" s="18">
        <f>B6*(1+C5)</f>
        <v>6647604770.440777</v>
      </c>
      <c r="D6" s="18">
        <f>C6*(1+D5)</f>
        <v>6863650796.088401</v>
      </c>
      <c r="E6" s="18">
        <f>D6*(1+E5)</f>
        <v>7086718280.864533</v>
      </c>
      <c r="F6" s="18">
        <f>E6*(1+F5)</f>
        <v>7317035420.997945</v>
      </c>
    </row>
    <row r="7" spans="1:6" x14ac:dyDescent="0.25">
      <c r="A7" t="s">
        <v>5</v>
      </c>
      <c r="B7" s="10">
        <f>Assumptions!B7</f>
        <v>0.2234751141642928</v>
      </c>
      <c r="C7" s="10">
        <f>Assumptions!B7</f>
        <v>0.2234751141642928</v>
      </c>
      <c r="D7" s="10">
        <f>Assumptions!B7</f>
        <v>0.2234751141642928</v>
      </c>
      <c r="E7" s="10">
        <f>Assumptions!B7</f>
        <v>0.2234751141642928</v>
      </c>
      <c r="F7" s="10">
        <f>Assumptions!B7</f>
        <v>0.2234751141642928</v>
      </c>
    </row>
    <row r="8" spans="1:6" x14ac:dyDescent="0.25">
      <c r="A8" t="s">
        <v>44</v>
      </c>
      <c r="B8" s="18">
        <f>B6*B7</f>
        <v>1438813055.1475263</v>
      </c>
      <c r="C8" s="18">
        <f>C6*C7</f>
        <v>1485574234.99335</v>
      </c>
      <c r="D8" s="18">
        <f>D6*D7</f>
        <v>1533855145.2396946</v>
      </c>
      <c r="E8" s="18">
        <f>E6*E7</f>
        <v>1583705176.8663824</v>
      </c>
      <c r="F8" s="18">
        <f>F6*F7</f>
        <v>1635175326.0516899</v>
      </c>
    </row>
    <row r="9" spans="1:6" x14ac:dyDescent="0.25">
      <c r="A9" t="s">
        <v>45</v>
      </c>
      <c r="B9" s="18">
        <f>B8*(1-Assumptions!B8)</f>
        <v>1163934817.515143</v>
      </c>
      <c r="C9" s="18">
        <f>C8*(1-Assumptions!B8)</f>
        <v>1201762501.338224</v>
      </c>
      <c r="D9" s="18">
        <f>D8*(1-Assumptions!B8)</f>
        <v>1240819578.4588385</v>
      </c>
      <c r="E9" s="18">
        <f>E8*(1-Assumptions!B8)</f>
        <v>1281146003.950289</v>
      </c>
      <c r="F9" s="18">
        <f>F8*(1-Assumptions!B8)</f>
        <v>1322783031.4189725</v>
      </c>
    </row>
    <row r="10" spans="1:6" x14ac:dyDescent="0.25">
      <c r="A10" t="s">
        <v>46</v>
      </c>
      <c r="B10" s="18">
        <f>B6*Assumptions!B9</f>
        <v>620718980.1680924</v>
      </c>
      <c r="C10" s="18">
        <f>C6*Assumptions!B9</f>
        <v>640892241.5667946</v>
      </c>
      <c r="D10" s="18">
        <f>D6*Assumptions!B9</f>
        <v>661721130.5336281</v>
      </c>
      <c r="E10" s="18">
        <f>E6*Assumptions!B9</f>
        <v>683226954.8531691</v>
      </c>
      <c r="F10" s="18">
        <f>F6*Assumptions!B9</f>
        <v>705431714.8093734</v>
      </c>
    </row>
    <row r="11" spans="1:6" x14ac:dyDescent="0.25">
      <c r="A11" t="s">
        <v>47</v>
      </c>
      <c r="B11" s="18">
        <f>-B6*Assumptions!B10</f>
        <v>-168414102.06758237</v>
      </c>
      <c r="C11" s="18">
        <f>-C6*Assumptions!B10</f>
        <v>-173887531.77214375</v>
      </c>
      <c r="D11" s="18">
        <f>-D6*Assumptions!B10</f>
        <v>-179538847.01219758</v>
      </c>
      <c r="E11" s="18">
        <f>-E6*Assumptions!B10</f>
        <v>-185373829.0374256</v>
      </c>
      <c r="F11" s="18">
        <f>-F6*Assumptions!B10</f>
        <v>-191398446.987142</v>
      </c>
    </row>
    <row r="12" spans="1:6" x14ac:dyDescent="0.25">
      <c r="A12" t="s">
        <v>48</v>
      </c>
      <c r="B12" s="18">
        <f>-(B6-Assumptions!B29)*Assumptions!B11</f>
        <v>-105889813.54175197</v>
      </c>
      <c r="C12" s="18">
        <f>-(C6-B6)*Assumptions!B11</f>
        <v>-109331214.49175842</v>
      </c>
      <c r="D12" s="18">
        <f>-(D6-C6)*Assumptions!B11</f>
        <v>-112884460.38796525</v>
      </c>
      <c r="E12" s="18">
        <f>-(E6-D6)*Assumptions!B11</f>
        <v>-116553186.17212114</v>
      </c>
      <c r="F12" s="18">
        <f>-(F6-E6)*Assumptions!B11</f>
        <v>-120341144.9209663</v>
      </c>
    </row>
    <row r="13" spans="1:6" x14ac:dyDescent="0.25">
      <c r="A13" s="19" t="s">
        <v>49</v>
      </c>
      <c r="B13" s="20">
        <f>B9+B10+B11+B12</f>
        <v>1510349882.073901</v>
      </c>
      <c r="C13" s="20">
        <f>C9+C10+C11+C12</f>
        <v>1559435996.6411164</v>
      </c>
      <c r="D13" s="20">
        <f>D9+D10+D11+D12</f>
        <v>1610117401.5923038</v>
      </c>
      <c r="E13" s="20">
        <f>E9+E10+E11+E12</f>
        <v>1662445943.5939116</v>
      </c>
      <c r="F13" s="20">
        <f>F9+F10+F11+F12</f>
        <v>1716475154.3202374</v>
      </c>
    </row>
    <row r="14" spans="1:6" x14ac:dyDescent="0.25">
      <c r="A14" t="s">
        <v>50</v>
      </c>
      <c r="B14" s="21">
        <f>1/(1+Assumptions!$B$26)^(1-0.5*Assumptions!$B$32)</f>
        <v>0.9671993971681783</v>
      </c>
      <c r="C14" s="21">
        <f>1/(1+Assumptions!$B$26)^(2-0.5*Assumptions!$B$32)</f>
        <v>0.9047905406452403</v>
      </c>
      <c r="D14" s="21">
        <f>1/(1+Assumptions!$B$26)^(3-0.5*Assumptions!$B$32)</f>
        <v>0.8464086359420657</v>
      </c>
      <c r="E14" s="21">
        <f>1/(1+Assumptions!$B$26)^(4-0.5*Assumptions!$B$32)</f>
        <v>0.7917938426792251</v>
      </c>
      <c r="F14" s="21">
        <f>1/(1+Assumptions!$B$26)^(5-0.5*Assumptions!$B$32)</f>
        <v>0.7407030867625098</v>
      </c>
    </row>
    <row r="15" spans="1:6" x14ac:dyDescent="0.25">
      <c r="A15" s="19" t="s">
        <v>51</v>
      </c>
      <c r="B15" s="20">
        <f>B13*B14</f>
        <v>1460809495.4549062</v>
      </c>
      <c r="C15" s="20">
        <f>C13*C14</f>
        <v>1410962938.502565</v>
      </c>
      <c r="D15" s="20">
        <f>D13*D14</f>
        <v>1362817273.588325</v>
      </c>
      <c r="E15" s="20">
        <f>E13*E14</f>
        <v>1316314461.9247136</v>
      </c>
      <c r="F15" s="20">
        <f>F13*F14</f>
        <v>1271398445.1561553</v>
      </c>
    </row>
    <row r="17" spans="1:2" x14ac:dyDescent="0.25">
      <c r="A17" s="22" t="s">
        <v>52</v>
      </c>
      <c r="B17" s="23">
        <f>SUM(B15:F15)</f>
        <v>6822302614.626665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1716475154.3202374</v>
      </c>
    </row>
    <row r="5" spans="1:2" x14ac:dyDescent="0.25">
      <c r="A5" t="s">
        <v>56</v>
      </c>
      <c r="B5" s="18">
        <f>IF(Assumptions!$B$33=0,B4,B4-Forecast!F11-Forecast!F10-Forecast!F12)</f>
        <v>1696488870.9479644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0.2557618317478311</v>
      </c>
    </row>
    <row r="7" spans="1:2" x14ac:dyDescent="0.25">
      <c r="A7" t="s">
        <v>58</v>
      </c>
      <c r="B7" s="18">
        <f>-MAX(Forecast!F9,0)*B6</f>
        <v>-433897101.17346126</v>
      </c>
    </row>
    <row r="8" spans="1:2" x14ac:dyDescent="0.25">
      <c r="A8" t="s">
        <v>59</v>
      </c>
      <c r="B8" s="18">
        <f>IF(OR(Assumptions!$B$33=0,Assumptions!B12&lt;=0),B5,MAX(B5+B7,0))</f>
        <v>1262591769.7745032</v>
      </c>
    </row>
    <row r="9" spans="1:2" x14ac:dyDescent="0.25">
      <c r="A9" t="s">
        <v>60</v>
      </c>
      <c r="B9" s="18">
        <f>B8*(1+Assumptions!B12)/(Assumptions!B26-Assumptions!B12)</f>
        <v>29428683308.712105</v>
      </c>
    </row>
    <row r="10" spans="1:2" x14ac:dyDescent="0.25">
      <c r="A10" t="s">
        <v>61</v>
      </c>
      <c r="B10" s="18">
        <f>B9/(1+Assumptions!B26)^(5-0.5*Assumptions!B32)</f>
        <v>21797916566.119408</v>
      </c>
    </row>
    <row r="11" spans="1:2" x14ac:dyDescent="0.25">
      <c r="A11" t="s">
        <v>62</v>
      </c>
      <c r="B11" s="18">
        <f>Forecast!B17+B10</f>
        <v>28620219180.74607</v>
      </c>
    </row>
    <row r="12" spans="1:2" x14ac:dyDescent="0.25">
      <c r="A12" t="s">
        <v>63</v>
      </c>
      <c r="B12" s="18">
        <f>-Assumptions!B30</f>
        <v>956200000</v>
      </c>
    </row>
    <row r="13" spans="1:2" x14ac:dyDescent="0.25">
      <c r="A13" t="s">
        <v>64</v>
      </c>
      <c r="B13" s="18">
        <f>B11+B12</f>
        <v>29576419180.74607</v>
      </c>
    </row>
    <row r="14" spans="1:2" x14ac:dyDescent="0.25">
      <c r="A14" s="19" t="s">
        <v>65</v>
      </c>
      <c r="B14" s="24">
        <f>B13/Assumptions!B31</f>
        <v>22.263846992174408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2340607040.861063</v>
      </c>
    </row>
    <row r="18" spans="1:2" x14ac:dyDescent="0.25">
      <c r="A18" t="s">
        <v>60</v>
      </c>
      <c r="B18" s="18">
        <f>B17*Assumptions!B13</f>
        <v>31324384726.736637</v>
      </c>
    </row>
    <row r="19" spans="1:2" x14ac:dyDescent="0.25">
      <c r="A19" t="s">
        <v>61</v>
      </c>
      <c r="B19" s="18">
        <f>B18/(1+Assumptions!B26)^(5-0.5*Assumptions!B32)</f>
        <v>23202068458.030247</v>
      </c>
    </row>
    <row r="20" spans="1:2" x14ac:dyDescent="0.25">
      <c r="A20" t="s">
        <v>62</v>
      </c>
      <c r="B20" s="18">
        <f>Forecast!B17+B19</f>
        <v>30024371072.656914</v>
      </c>
    </row>
    <row r="21" spans="1:2" x14ac:dyDescent="0.25">
      <c r="A21" t="s">
        <v>63</v>
      </c>
      <c r="B21" s="18">
        <f>-Assumptions!B30</f>
        <v>956200000</v>
      </c>
    </row>
    <row r="22" spans="1:2" x14ac:dyDescent="0.25">
      <c r="A22" t="s">
        <v>64</v>
      </c>
      <c r="B22" s="18">
        <f>B20+B21</f>
        <v>30980571072.656914</v>
      </c>
    </row>
    <row r="23" spans="1:2" x14ac:dyDescent="0.25">
      <c r="A23" s="19" t="s">
        <v>65</v>
      </c>
      <c r="B23" s="25">
        <f>B22/Assumptions!B31</f>
        <v>23.320831703008718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22.263846992174408</v>
      </c>
    </row>
    <row r="29" spans="1:2" x14ac:dyDescent="0.25">
      <c r="A29" s="19" t="s">
        <v>73</v>
      </c>
      <c r="B29" s="12">
        <f>B28/B26-1</f>
        <v>0.0828719354170433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0.048976</v>
      </c>
      <c r="B5" s="31">
        <v>32.142227308167726</v>
      </c>
      <c r="C5" s="31">
        <v>34.93234482021029</v>
      </c>
      <c r="D5" s="31">
        <v>38.86420401725004</v>
      </c>
      <c r="E5" s="31">
        <v>44.840319932748066</v>
      </c>
      <c r="F5" s="31">
        <v>55.05472882721341</v>
      </c>
    </row>
    <row r="6" spans="1:6" x14ac:dyDescent="0.25">
      <c r="A6" s="30">
        <v>0.058976</v>
      </c>
      <c r="B6" s="31">
        <v>25.254913556645516</v>
      </c>
      <c r="C6" s="31">
        <v>26.514500152497344</v>
      </c>
      <c r="D6" s="31">
        <v>28.129958753233026</v>
      </c>
      <c r="E6" s="31">
        <v>30.28551354691362</v>
      </c>
      <c r="F6" s="31">
        <v>33.31906255214834</v>
      </c>
    </row>
    <row r="7" spans="1:6" x14ac:dyDescent="0.25">
      <c r="A7" s="30">
        <v>0.068976</v>
      </c>
      <c r="B7" s="31">
        <v>20.913211168047557</v>
      </c>
      <c r="C7" s="31">
        <v>21.524530488027313</v>
      </c>
      <c r="D7" s="32">
        <v>22.263859127449027</v>
      </c>
      <c r="E7" s="31">
        <v>23.180461756664453</v>
      </c>
      <c r="F7" s="31">
        <v>24.352602734247448</v>
      </c>
    </row>
    <row r="8" spans="1:6" x14ac:dyDescent="0.25">
      <c r="A8" s="30">
        <v>0.078976</v>
      </c>
      <c r="B8" s="31">
        <v>17.923728624130916</v>
      </c>
      <c r="C8" s="31">
        <v>18.219203289302026</v>
      </c>
      <c r="D8" s="31">
        <v>18.560823394652164</v>
      </c>
      <c r="E8" s="31">
        <v>18.962722017661854</v>
      </c>
      <c r="F8" s="31">
        <v>19.445459867920256</v>
      </c>
    </row>
    <row r="9" spans="1:6" x14ac:dyDescent="0.25">
      <c r="A9" s="30">
        <v>0.088976</v>
      </c>
      <c r="B9" s="31">
        <v>15.73834177277543</v>
      </c>
      <c r="C9" s="31">
        <v>15.866180287453425</v>
      </c>
      <c r="D9" s="31">
        <v>16.007043264224944</v>
      </c>
      <c r="E9" s="31">
        <v>16.164243354531315</v>
      </c>
      <c r="F9" s="31">
        <v>16.342320663289957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6235700000</v>
      </c>
      <c r="C5" s="18">
        <v>6213600000</v>
      </c>
      <c r="D5" s="18">
        <v>5951400000</v>
      </c>
      <c r="E5" s="18">
        <v>5665200000</v>
      </c>
      <c r="F5" s="8" t="s">
        <v>84</v>
      </c>
    </row>
    <row r="6" spans="1:6" x14ac:dyDescent="0.25">
      <c r="A6" t="s">
        <v>44</v>
      </c>
      <c r="B6" s="18">
        <v>1394600000</v>
      </c>
      <c r="C6" s="18">
        <v>1375900000</v>
      </c>
      <c r="D6" s="18">
        <v>1290300000</v>
      </c>
      <c r="E6" s="18">
        <v>1314400000</v>
      </c>
      <c r="F6" s="8" t="s">
        <v>85</v>
      </c>
    </row>
    <row r="7" spans="1:6" x14ac:dyDescent="0.25">
      <c r="A7" t="s">
        <v>86</v>
      </c>
      <c r="B7" s="18">
        <v>552700000</v>
      </c>
      <c r="C7" s="18">
        <v>575200000</v>
      </c>
      <c r="D7" s="18">
        <v>575000000</v>
      </c>
      <c r="E7" s="18">
        <v>610800000</v>
      </c>
      <c r="F7" s="8" t="s">
        <v>87</v>
      </c>
    </row>
    <row r="8" spans="1:6" x14ac:dyDescent="0.25">
      <c r="A8" t="s">
        <v>88</v>
      </c>
      <c r="B8" s="18">
        <v>160500000</v>
      </c>
      <c r="C8" s="18">
        <v>193400000</v>
      </c>
      <c r="D8" s="18">
        <v>145300000</v>
      </c>
      <c r="E8" s="18">
        <v>132300000</v>
      </c>
      <c r="F8" s="8" t="s">
        <v>89</v>
      </c>
    </row>
    <row r="9" spans="1:6" x14ac:dyDescent="0.25">
      <c r="A9" t="s">
        <v>90</v>
      </c>
      <c r="B9" s="18">
        <v>122600000</v>
      </c>
      <c r="C9" s="18">
        <v>137000000</v>
      </c>
      <c r="D9" s="18">
        <v>129200000</v>
      </c>
      <c r="E9" s="18">
        <v>82600000</v>
      </c>
      <c r="F9" s="8" t="s">
        <v>91</v>
      </c>
    </row>
    <row r="10" spans="1:6" x14ac:dyDescent="0.25">
      <c r="A10" t="s">
        <v>92</v>
      </c>
      <c r="B10" s="18">
        <v>3169200000</v>
      </c>
      <c r="C10" s="18">
        <v>3062200000</v>
      </c>
      <c r="D10" s="18">
        <v>3600900000</v>
      </c>
      <c r="E10" s="18">
        <v>3576800000</v>
      </c>
      <c r="F10" s="8" t="s">
        <v>93</v>
      </c>
    </row>
    <row r="11" spans="1:6" x14ac:dyDescent="0.25">
      <c r="A11" t="s">
        <v>94</v>
      </c>
      <c r="B11" s="18">
        <v>4125400000</v>
      </c>
      <c r="C11" s="18">
        <v>3952600000</v>
      </c>
      <c r="D11" s="18">
        <v>3568300000</v>
      </c>
      <c r="E11" s="18">
        <v>2769000000</v>
      </c>
      <c r="F11" s="8" t="s">
        <v>95</v>
      </c>
    </row>
    <row r="12" spans="1:6" x14ac:dyDescent="0.25">
      <c r="A12" t="s">
        <v>32</v>
      </c>
      <c r="B12" s="34">
        <v>1328450523</v>
      </c>
      <c r="C12" s="34">
        <v>1333387463</v>
      </c>
      <c r="D12" s="34">
        <v>1336796848</v>
      </c>
      <c r="E12" s="34">
        <v>1332663008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