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<sst xmlns="http://schemas.openxmlformats.org/spreadsheetml/2006/main" count="122" uniqueCount="109">
  <si>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DTE Energy Company (DTE)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</si>
  <si>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</si>
  <si>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</si>
  <si>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</si>
  <si>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</si>
  <si>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</si>
  <si>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</si>
  <si>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</si>
  <si>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</si>
  <si>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</si>
  <si>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</si>
  <si>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</si>
  <si>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</si>
  <si>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</si>
  <si>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</si>
  <si>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</si>
  <si>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</si>
  <si>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</si>
  <si>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</si>
  <si>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</si>
  <si>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</si>
  <si>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</si>
  <si>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</si>
  <si>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</si>
  <si>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</si>
  <si>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</si>
  <si>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</si>
  <si>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</si>
  <si>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</si>
  <si>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</si>
  <si>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</si>
  <si>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</si>
  <si>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</si>
  <si>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</si>
  <si>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</si>
  <si>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</si>
  <si>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</si>
  <si>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</si>
  <si>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</si>
  <si>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</si>
  <si>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</si>
  <si>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</si>
  <si>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</si>
  <si>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</si>
  <si>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</si>
  <si>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</si>
  <si>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</si>
  <si>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</si>
  <si>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</si>
  <si>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</si>
  <si>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</si>
  <si>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</si>
  <si>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</si>
  <si>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</si>
  <si>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</si>
  <si>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</si>
  <si>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</si>
  <si>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</si>
  <si>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</si>
  <si>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</si>
  <si>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</si>
  <si>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</si>
  <si>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</si>
  <si>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</si>
  <si>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</si>
  <si>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</si>
  <si>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</si>
  <si>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</si>
  <si>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</si>
  <si>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</si>
  <si>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</si>
  <si>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</si>
  <si>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</si>
  <si>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</si>
  <si>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</si>
  <si>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</si>
  <si>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</si>
  <si>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</si>
  <si>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</si>
  <si>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</si>
  <si>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</si>
  <si>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</si>
  <si>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</si>
  <si>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</si>
  <si>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</si>
  <si>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</si>
  <si>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</si>
  <si>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</si>
  <si>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</si>
  <si>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</si>
  <si>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</si>
  <si>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</si>
  <si>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</si>
  <si>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</si>
  <si>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</si>
  <si>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</si>
  <si>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</si>
  <si>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</si>
  <si>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</si>
  <si>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</si>
  <si>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</si>
  <si>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</si>
  <si>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</si>
  <si>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</si>
  <si>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</si>
  <si>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4.4%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</si>
  <si>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</si>
  <si>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28.1% of revenue against depreciation of 8.7%.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</si>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</sst>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0.013771127481978063</v>
      </c>
    </row>
    <row r="7" spans="1:2" x14ac:dyDescent="0.25">
      <c r="A7" t="s">
        <v>4</v>
      </c>
      <c r="B7" s="5">
        <v>0.15239148085932905</v>
      </c>
    </row>
    <row r="8" spans="1:2" x14ac:dyDescent="0.25">
      <c r="A8" t="s">
        <v>5</v>
      </c>
      <c r="B8" s="5">
        <v>0.0567741935483871</v>
      </c>
    </row>
    <row r="9" spans="1:2" x14ac:dyDescent="0.25">
      <c r="A9" t="s">
        <v>6</v>
      </c>
      <c r="B9" s="5">
        <v>0.08674667971263553</v>
      </c>
    </row>
    <row r="10" spans="1:3" x14ac:dyDescent="0.25">
      <c r="A10" t="s">
        <v>7</v>
      </c>
      <c r="B10" s="5">
        <v>0.28075330514232605</v>
      </c>
      <c r="C10" s="6" t="s">
        <v>8</v>
      </c>
    </row>
    <row r="11" spans="1:2" x14ac:dyDescent="0.25">
      <c r="A11" t="s">
        <v>9</v>
      </c>
      <c r="B11" s="5">
        <v>0.11405667334310993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14.241892794542116</v>
      </c>
    </row>
    <row r="14" spans="1:3" x14ac:dyDescent="0.25">
      <c r="A14" t="s">
        <v>12</v>
      </c>
      <c r="B14" s="5">
        <v>0.06660313082336553</v>
      </c>
      <c r="C14" s="6" t="s">
        <v>13</v>
      </c>
    </row>
    <row r="15" spans="1:3" x14ac:dyDescent="0.25">
      <c r="A15" t="s">
        <v>14</v>
      </c>
      <c r="B15" s="5">
        <v>0.08563875413734248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0.58125</v>
      </c>
      <c r="C19" s="6" t="s">
        <v>21</v>
      </c>
    </row>
    <row r="20" spans="1:2" x14ac:dyDescent="0.25">
      <c r="A20" t="s">
        <v>22</v>
      </c>
      <c r="B20" s="9">
        <f>B17+B19*B18</f>
        <v>0.073526875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28193853440</v>
      </c>
    </row>
    <row r="23" spans="1:2" x14ac:dyDescent="0.25">
      <c r="A23" t="s">
        <v>26</v>
      </c>
      <c r="B23" s="10">
        <v>26290000000</v>
      </c>
    </row>
    <row r="24" spans="1:2" x14ac:dyDescent="0.25">
      <c r="A24" t="s">
        <v>27</v>
      </c>
      <c r="B24" s="9">
        <f>B22/(B22+B23)</f>
        <v>0.5174717216183746</v>
      </c>
    </row>
    <row r="25" spans="1:2" x14ac:dyDescent="0.25">
      <c r="A25" t="s">
        <v>28</v>
      </c>
      <c r="B25" s="9">
        <f>1-B24</f>
        <v>0.4825282783816254</v>
      </c>
    </row>
    <row r="26" spans="1:2" x14ac:dyDescent="0.25">
      <c r="A26" t="s">
        <v>29</v>
      </c>
      <c r="B26" s="11">
        <f>B24*B20+B25*B21*(1-B8)</f>
        <v>0.06660313082336553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15814000000</v>
      </c>
      <c r="C29" s="6" t="s">
        <v>32</v>
      </c>
    </row>
    <row r="30" spans="1:2" x14ac:dyDescent="0.25">
      <c r="A30" t="s">
        <v>33</v>
      </c>
      <c r="B30" s="10">
        <v>26082000000</v>
      </c>
    </row>
    <row r="31" spans="1:2" x14ac:dyDescent="0.25">
      <c r="A31" t="s">
        <v>34</v>
      </c>
      <c r="B31" s="12">
        <v>207000000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0.013771127481978063</v>
      </c>
      <c r="C5" s="5">
        <v>0.03823312755104569</v>
      </c>
      <c r="D5" s="5">
        <v>0.03657898660716498</v>
      </c>
      <c r="E5" s="5">
        <v>0.034924845663284264</v>
      </c>
      <c r="F5" s="5">
        <v>0.033270704719403556</v>
      </c>
      <c r="G5" s="5">
        <v>0.03161656377552284</v>
      </c>
      <c r="H5" s="5">
        <v>0.029962422831642133</v>
      </c>
      <c r="I5" s="5">
        <v>0.028308281887761425</v>
      </c>
      <c r="J5" s="5">
        <v>0.026654140943880713</v>
      </c>
      <c r="K5" s="5">
        <v>0.025</v>
      </c>
    </row>
    <row r="6" spans="1:11" x14ac:dyDescent="0.25">
      <c r="A6" t="s">
        <v>50</v>
      </c>
      <c r="B6" s="18">
        <f>Assumptions!B29*(1+B5)</f>
        <v>16031776610.000002</v>
      </c>
      <c r="C6" s="18">
        <f>B6*(1+C5)</f>
        <v>16644721570.000002</v>
      </c>
      <c r="D6" s="18">
        <f>C6*(1+D5)</f>
        <v>17253568617.389023</v>
      </c>
      <c r="E6" s="18">
        <f>D6*(1+E5)</f>
        <v>17856146838.492218</v>
      </c>
      <c r="F6" s="18">
        <f>E6*(1+F5)</f>
        <v>18450233427.382004</v>
      </c>
      <c r="G6" s="18">
        <f>F6*(1+G5)</f>
        <v>19033566409.21211</v>
      </c>
      <c r="H6" s="18">
        <f>G6*(1+H5)</f>
        <v>19603858173.959064</v>
      </c>
      <c r="I6" s="18">
        <f>H6*(1+I5)</f>
        <v>20158809717.23519</v>
      </c>
      <c r="J6" s="18">
        <f>I6*(1+J5)</f>
        <v>20696125472.69925</v>
      </c>
      <c r="K6" s="18">
        <f>J6*(1+K5)</f>
        <v>21213528609.516727</v>
      </c>
    </row>
    <row r="7" spans="1:11" x14ac:dyDescent="0.25">
      <c r="A7" t="s">
        <v>4</v>
      </c>
      <c r="B7" s="9">
        <f>Assumptions!B7</f>
        <v>0.15239148085932905</v>
      </c>
      <c r="C7" s="9">
        <f>Assumptions!B7</f>
        <v>0.15239148085932905</v>
      </c>
      <c r="D7" s="9">
        <f>Assumptions!B7</f>
        <v>0.15239148085932905</v>
      </c>
      <c r="E7" s="9">
        <f>Assumptions!B7</f>
        <v>0.15239148085932905</v>
      </c>
      <c r="F7" s="9">
        <f>Assumptions!B7</f>
        <v>0.15239148085932905</v>
      </c>
      <c r="G7" s="9">
        <f>Assumptions!B7</f>
        <v>0.15239148085932905</v>
      </c>
      <c r="H7" s="9">
        <f>Assumptions!B7</f>
        <v>0.15239148085932905</v>
      </c>
      <c r="I7" s="9">
        <f>Assumptions!B7</f>
        <v>0.15239148085932905</v>
      </c>
      <c r="J7" s="9">
        <f>Assumptions!B7</f>
        <v>0.15239148085932905</v>
      </c>
      <c r="K7" s="9">
        <f>Assumptions!B7</f>
        <v>0.15239148085932905</v>
      </c>
    </row>
    <row r="8" spans="1:11" x14ac:dyDescent="0.25">
      <c r="A8" t="s">
        <v>51</v>
      </c>
      <c r="B8" s="18">
        <f>B6*B7</f>
        <v>2443106178.4038544</v>
      </c>
      <c r="C8" s="18">
        <f>C6*C7</f>
        <v>2536513768.5435166</v>
      </c>
      <c r="D8" s="18">
        <f>D6*D7</f>
        <v>2629296871.71196</v>
      </c>
      <c r="E8" s="18">
        <f>E6*E7</f>
        <v>2721124659.159456</v>
      </c>
      <c r="F8" s="18">
        <f>F6*F7</f>
        <v>2811658394.1990376</v>
      </c>
      <c r="G8" s="18">
        <f>G6*G7</f>
        <v>2900553371.1342154</v>
      </c>
      <c r="H8" s="18">
        <f>H6*H7</f>
        <v>2987460977.685884</v>
      </c>
      <c r="I8" s="18">
        <f>I6*I7</f>
        <v>3072030865.170903</v>
      </c>
      <c r="J8" s="18">
        <f>J6*J7</f>
        <v>3153913208.83512</v>
      </c>
      <c r="K8" s="18">
        <f>K6*K7</f>
        <v>3232761039.0559974</v>
      </c>
    </row>
    <row r="9" spans="1:11" x14ac:dyDescent="0.25">
      <c r="A9" t="s">
        <v>52</v>
      </c>
      <c r="B9" s="18">
        <f>B8*(1-Assumptions!B8)</f>
        <v>2304400795.3718934</v>
      </c>
      <c r="C9" s="18">
        <f>C8*(1-Assumptions!B8)</f>
        <v>2392505244.9100785</v>
      </c>
      <c r="D9" s="18">
        <f>D8*(1-Assumptions!B8)</f>
        <v>2480020662.221216</v>
      </c>
      <c r="E9" s="18">
        <f>E8*(1-Assumptions!B8)</f>
        <v>2566635001.091048</v>
      </c>
      <c r="F9" s="18">
        <f>F8*(1-Assumptions!B8)</f>
        <v>2652028756.334834</v>
      </c>
      <c r="G9" s="18">
        <f>G8*(1-Assumptions!B8)</f>
        <v>2735876792.644015</v>
      </c>
      <c r="H9" s="18">
        <f>H8*(1-Assumptions!B8)</f>
        <v>2817850289.9204917</v>
      </c>
      <c r="I9" s="18">
        <f>I8*(1-Assumptions!B8)</f>
        <v>2897618790.2450714</v>
      </c>
      <c r="J9" s="18">
        <f>J8*(1-Assumptions!B8)</f>
        <v>2974852329.8819003</v>
      </c>
      <c r="K9" s="18">
        <f>K8*(1-Assumptions!B8)</f>
        <v>3049223638.1289473</v>
      </c>
    </row>
    <row r="10" spans="1:11" x14ac:dyDescent="0.25">
      <c r="A10" t="s">
        <v>53</v>
      </c>
      <c r="B10" s="18">
        <f>B6*Assumptions!B9</f>
        <v>1390703390.812192</v>
      </c>
      <c r="C10" s="18">
        <f>C6*Assumptions!B9</f>
        <v>1443874330.938786</v>
      </c>
      <c r="D10" s="18">
        <f>D6*Assumptions!B9</f>
        <v>1496689790.7526255</v>
      </c>
      <c r="E10" s="18">
        <f>E6*Assumptions!B9</f>
        <v>1548961450.7004738</v>
      </c>
      <c r="F10" s="18">
        <f>F6*Assumptions!B9</f>
        <v>1600496489.7484684</v>
      </c>
      <c r="G10" s="18">
        <f>G6*Assumptions!B9</f>
        <v>1651098689.089101</v>
      </c>
      <c r="H10" s="18">
        <f>H6*Assumptions!B9</f>
        <v>1700569606.1483588</v>
      </c>
      <c r="I10" s="18">
        <f>I6*Assumptions!B9</f>
        <v>1748709809.9289658</v>
      </c>
      <c r="J10" s="18">
        <f>J6*Assumptions!B9</f>
        <v>1795320167.6727593</v>
      </c>
      <c r="K10" s="18">
        <f>K6*Assumptions!B9</f>
        <v>1840203171.864578</v>
      </c>
    </row>
    <row r="11" spans="1:11" x14ac:dyDescent="0.25">
      <c r="A11" t="s">
        <v>54</v>
      </c>
      <c r="B11" s="18">
        <f>-B6*B19</f>
        <v>-4500974270.560936</v>
      </c>
      <c r="C11" s="18">
        <f>-C6*C19</f>
        <v>-4412721370.01368</v>
      </c>
      <c r="D11" s="18">
        <f>-D6*D19</f>
        <v>-4304272076.985243</v>
      </c>
      <c r="E11" s="18">
        <f>-E6*E19</f>
        <v>-4175311051.4434114</v>
      </c>
      <c r="F11" s="18">
        <f>-F6*F19</f>
        <v>-4025647451.601889</v>
      </c>
      <c r="G11" s="18">
        <f>-G6*G19</f>
        <v>-3855221569.2334743</v>
      </c>
      <c r="H11" s="18">
        <f>-H6*H19</f>
        <v>-3664110422.4245358</v>
      </c>
      <c r="I11" s="18">
        <f>-I6*I19</f>
        <v>-3452532199.34398</v>
      </c>
      <c r="J11" s="18">
        <f>-J6*J19</f>
        <v>-3220849457.641149</v>
      </c>
      <c r="K11" s="18">
        <f>-K6*K19</f>
        <v>-2969570996.9858103</v>
      </c>
    </row>
    <row r="12" spans="1:11" x14ac:dyDescent="0.25">
      <c r="A12" t="s">
        <v>55</v>
      </c>
      <c r="B12" s="18">
        <f>-(B6-Assumptions!B29)*Assumptions!B11</f>
        <v>-24838875.668540064</v>
      </c>
      <c r="C12" s="18">
        <f>-(C6-B6)*Assumptions!B11</f>
        <v>-69910463.08002558</v>
      </c>
      <c r="D12" s="18">
        <f>-(D6-C6)*Assumptions!B11</f>
        <v>-69443068.79996653</v>
      </c>
      <c r="E12" s="18">
        <f>-(E6-D6)*Assumptions!B11</f>
        <v>-68728067.32803941</v>
      </c>
      <c r="F12" s="18">
        <f>-(F6-E6)*Assumptions!B11</f>
        <v>-67759540.00652473</v>
      </c>
      <c r="G12" s="18">
        <f>-(G6-F6)*Assumptions!B11</f>
        <v>-66533019.35885855</v>
      </c>
      <c r="H12" s="18">
        <f>-(H6-G6)*Assumptions!B11</f>
        <v>-65045581.52200924</v>
      </c>
      <c r="I12" s="18">
        <f>-(I6-H6)*Assumptions!B11</f>
        <v>-63295926.892699935</v>
      </c>
      <c r="J12" s="18">
        <f>-(J6-I6)*Assumptions!B11</f>
        <v>-61284447.603070386</v>
      </c>
      <c r="K12" s="18">
        <f>-(K6-J6)*Assumptions!B11</f>
        <v>-59013280.562691525</v>
      </c>
    </row>
    <row r="13" spans="1:11" x14ac:dyDescent="0.25">
      <c r="A13" s="19" t="s">
        <v>56</v>
      </c>
      <c r="B13" s="20">
        <f>B9+B10+B11+B12</f>
        <v>-830708960.0453907</v>
      </c>
      <c r="C13" s="20">
        <f>C9+C10+C11+C12</f>
        <v>-646252257.2448415</v>
      </c>
      <c r="D13" s="20">
        <f>D9+D10+D11+D12</f>
        <v>-397004692.8113677</v>
      </c>
      <c r="E13" s="20">
        <f>E9+E10+E11+E12</f>
        <v>-128442666.97992921</v>
      </c>
      <c r="F13" s="20">
        <f>F9+F10+F11+F12</f>
        <v>159118254.47488862</v>
      </c>
      <c r="G13" s="20">
        <f>G9+G10+G11+G12</f>
        <v>465220893.14078337</v>
      </c>
      <c r="H13" s="20">
        <f>H9+H10+H11+H12</f>
        <v>789263892.1223055</v>
      </c>
      <c r="I13" s="20">
        <f>I9+I10+I11+I12</f>
        <v>1130500473.9373572</v>
      </c>
      <c r="J13" s="20">
        <f>J9+J10+J11+J12</f>
        <v>1488038592.3104403</v>
      </c>
      <c r="K13" s="20">
        <f>K9+K10+K11+K12</f>
        <v>1860842532.4450238</v>
      </c>
    </row>
    <row r="14" spans="1:11" x14ac:dyDescent="0.25">
      <c r="A14" t="s">
        <v>57</v>
      </c>
      <c r="B14" s="21">
        <f>1/(1+Assumptions!$B$26)^(1-0.5*Assumptions!$B$32)</f>
        <v>0.968274674550666</v>
      </c>
      <c r="C14" s="21">
        <f>1/(1+Assumptions!$B$26)^(2-0.5*Assumptions!$B$32)</f>
        <v>0.9078115810547128</v>
      </c>
      <c r="D14" s="21">
        <f>1/(1+Assumptions!$B$26)^(3-0.5*Assumptions!$B$32)</f>
        <v>0.8511240543180542</v>
      </c>
      <c r="E14" s="21">
        <f>1/(1+Assumptions!$B$26)^(4-0.5*Assumptions!$B$32)</f>
        <v>0.7979763322661805</v>
      </c>
      <c r="F14" s="21">
        <f>1/(1+Assumptions!$B$26)^(5-0.5*Assumptions!$B$32)</f>
        <v>0.7481473747880167</v>
      </c>
      <c r="G14" s="21">
        <f>1/(1+Assumptions!$B$26)^(6-0.5*Assumptions!$B$32)</f>
        <v>0.7014299444353623</v>
      </c>
      <c r="H14" s="21">
        <f>1/(1+Assumptions!$B$26)^(7-0.5*Assumptions!$B$32)</f>
        <v>0.6576297445272759</v>
      </c>
      <c r="I14" s="21">
        <f>1/(1+Assumptions!$B$26)^(8-0.5*Assumptions!$B$32)</f>
        <v>0.6165646110748033</v>
      </c>
      <c r="J14" s="21">
        <f>1/(1+Assumptions!$B$26)^(9-0.5*Assumptions!$B$32)</f>
        <v>0.578063755165284</v>
      </c>
      <c r="K14" s="21">
        <f>1/(1+Assumptions!$B$26)^(10-0.5*Assumptions!$B$32)</f>
        <v>0.5419670526553274</v>
      </c>
    </row>
    <row r="15" spans="1:11" x14ac:dyDescent="0.25">
      <c r="A15" s="19" t="s">
        <v>58</v>
      </c>
      <c r="B15" s="20">
        <f>B13*B14</f>
        <v>-804354447.9342729</v>
      </c>
      <c r="C15" s="20">
        <f>C13*C14</f>
        <v>-586675283.4096165</v>
      </c>
      <c r="D15" s="20">
        <f>D13*D14</f>
        <v>-337900243.7289049</v>
      </c>
      <c r="E15" s="20">
        <f>E13*E14</f>
        <v>-102494208.30313036</v>
      </c>
      <c r="F15" s="20">
        <f>F13*F14</f>
        <v>119043904.36623952</v>
      </c>
      <c r="G15" s="20">
        <f>G13*G14</f>
        <v>326319865.2259093</v>
      </c>
      <c r="H15" s="20">
        <f>H13*H14</f>
        <v>519043411.74099517</v>
      </c>
      <c r="I15" s="20">
        <f>I13*I14</f>
        <v>697026585.0330675</v>
      </c>
      <c r="J15" s="20">
        <f>J13*J14</f>
        <v>860181176.5018362</v>
      </c>
      <c r="K15" s="20">
        <f>K13*K14</f>
        <v>1008515342.764905</v>
      </c>
    </row>
    <row r="17" spans="1:2" x14ac:dyDescent="0.25">
      <c r="A17" s="22" t="s">
        <v>59</v>
      </c>
      <c r="B17" s="23">
        <f>SUM(B15:K15)</f>
        <v>1698706102.257028</v>
      </c>
    </row>
    <row r="19" spans="1:11" x14ac:dyDescent="0.25">
      <c r="A19" t="s">
        <v>7</v>
      </c>
      <c r="B19" s="9">
        <f>Assumptions!$B$10+($B$20-Assumptions!$B$10)*0/9</f>
        <v>0.28075330514232605</v>
      </c>
      <c r="C19" s="9">
        <f>Assumptions!$B$10+($B$20-Assumptions!$B$10)*1/9</f>
        <v>0.2651123571791703</v>
      </c>
      <c r="D19" s="9">
        <f>Assumptions!$B$10+($B$20-Assumptions!$B$10)*2/9</f>
        <v>0.24947140921601454</v>
      </c>
      <c r="E19" s="9">
        <f>Assumptions!$B$10+($B$20-Assumptions!$B$10)*3/9</f>
        <v>0.23383046125285878</v>
      </c>
      <c r="F19" s="9">
        <f>Assumptions!$B$10+($B$20-Assumptions!$B$10)*4/9</f>
        <v>0.21818951328970304</v>
      </c>
      <c r="G19" s="9">
        <f>Assumptions!$B$10+($B$20-Assumptions!$B$10)*5/9</f>
        <v>0.20254856532654725</v>
      </c>
      <c r="H19" s="9">
        <f>Assumptions!$B$10+($B$20-Assumptions!$B$10)*6/9</f>
        <v>0.1869076173633915</v>
      </c>
      <c r="I19" s="9">
        <f>Assumptions!$B$10+($B$20-Assumptions!$B$10)*7/9</f>
        <v>0.17126666940023577</v>
      </c>
      <c r="J19" s="9">
        <f>Assumptions!$B$10+($B$20-Assumptions!$B$10)*8/9</f>
        <v>0.15562572143708</v>
      </c>
      <c r="K19" s="9">
        <f>Assumptions!$B$10+($B$20-Assumptions!$B$10)*9/9</f>
        <v>0.13998477347392424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0.13998477347392424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1860842532.4450238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3071392284.5284767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0.37535773004877376</v>
      </c>
    </row>
    <row r="7" spans="1:2" x14ac:dyDescent="0.25">
      <c r="A7" t="s">
        <v>66</v>
      </c>
      <c r="B7" s="18">
        <f>-MAX(B5,0)*B6</f>
        <v>-1152870836.0099266</v>
      </c>
    </row>
    <row r="8" spans="1:2" x14ac:dyDescent="0.25">
      <c r="A8" t="s">
        <v>67</v>
      </c>
      <c r="B8" s="18">
        <f>IF(OR(Assumptions!$B$33=0,Assumptions!B12&lt;=0),B5,MAX(B5+B7,0))</f>
        <v>1918521448.5185502</v>
      </c>
    </row>
    <row r="9" spans="1:2" x14ac:dyDescent="0.25">
      <c r="A9" t="s">
        <v>68</v>
      </c>
      <c r="B9" s="18">
        <f>B8*(1+Assumptions!B12)/(Assumptions!B26-Assumptions!B12)</f>
        <v>47267704276.40698</v>
      </c>
    </row>
    <row r="10" spans="1:2" x14ac:dyDescent="0.25">
      <c r="A10" t="s">
        <v>69</v>
      </c>
      <c r="B10" s="18">
        <f>B9/(1+Assumptions!B26)^(10-0.5*Assumptions!B32)</f>
        <v>25617538372.467907</v>
      </c>
    </row>
    <row r="11" spans="1:2" x14ac:dyDescent="0.25">
      <c r="A11" t="s">
        <v>70</v>
      </c>
      <c r="B11" s="18">
        <f>Forecast!B17+B10</f>
        <v>27316244474.724934</v>
      </c>
    </row>
    <row r="12" spans="1:2" x14ac:dyDescent="0.25">
      <c r="A12" t="s">
        <v>71</v>
      </c>
      <c r="B12" s="18">
        <f>-Assumptions!B30</f>
        <v>-26082000000</v>
      </c>
    </row>
    <row r="13" spans="1:2" x14ac:dyDescent="0.25">
      <c r="A13" t="s">
        <v>72</v>
      </c>
      <c r="B13" s="18">
        <f>B11+B12</f>
        <v>1234244474.7249336</v>
      </c>
    </row>
    <row r="14" spans="1:2" x14ac:dyDescent="0.25">
      <c r="A14" s="19" t="s">
        <v>73</v>
      </c>
      <c r="B14" s="24">
        <f>B13/Assumptions!B31</f>
        <v>5.9625336943233505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5072964210.920575</v>
      </c>
    </row>
    <row r="18" spans="1:2" x14ac:dyDescent="0.25">
      <c r="A18" t="s">
        <v>68</v>
      </c>
      <c r="B18" s="18">
        <f>B17*Assumptions!B13</f>
        <v>72248612442.47977</v>
      </c>
    </row>
    <row r="19" spans="1:2" x14ac:dyDescent="0.25">
      <c r="A19" t="s">
        <v>69</v>
      </c>
      <c r="B19" s="18">
        <f>B18/(1+Assumptions!B26)^(10-0.5*Assumptions!B32)</f>
        <v>39156367543.88777</v>
      </c>
    </row>
    <row r="20" spans="1:2" x14ac:dyDescent="0.25">
      <c r="A20" t="s">
        <v>70</v>
      </c>
      <c r="B20" s="18">
        <f>Forecast!B17+B19</f>
        <v>40855073646.1448</v>
      </c>
    </row>
    <row r="21" spans="1:2" x14ac:dyDescent="0.25">
      <c r="A21" t="s">
        <v>71</v>
      </c>
      <c r="B21" s="18">
        <f>-Assumptions!B30</f>
        <v>-26082000000</v>
      </c>
    </row>
    <row r="22" spans="1:2" x14ac:dyDescent="0.25">
      <c r="A22" t="s">
        <v>72</v>
      </c>
      <c r="B22" s="18">
        <f>B20+B21</f>
        <v>14773073646.144798</v>
      </c>
    </row>
    <row r="23" spans="1:2" x14ac:dyDescent="0.25">
      <c r="A23" s="19" t="s">
        <v>73</v>
      </c>
      <c r="B23" s="25">
        <f>B22/Assumptions!B31</f>
        <v>71.36750553693139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135.49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5.9625336943233505</v>
      </c>
    </row>
    <row r="29" spans="1:2" x14ac:dyDescent="0.25">
      <c r="A29" s="19" t="s">
        <v>81</v>
      </c>
      <c r="B29" s="11">
        <f>B28/B26-1</f>
        <v>-0.9559928135336678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0.046603</v>
      </c>
      <c r="B5" s="31">
        <v>124.48449561126473</v>
      </c>
      <c r="C5" s="31">
        <v>135.3189611798731</v>
      </c>
      <c r="D5" s="31">
        <v>152.71938177709623</v>
      </c>
      <c r="E5" s="31">
        <v>182.61777724448237</v>
      </c>
      <c r="F5" s="31">
        <v>241.17114344969036</v>
      </c>
    </row>
    <row r="6" spans="1:6" x14ac:dyDescent="0.25">
      <c r="A6" s="30">
        <v>0.056603</v>
      </c>
      <c r="B6" s="31">
        <v>51.40372709876808</v>
      </c>
      <c r="C6" s="31">
        <v>50.46844651043425</v>
      </c>
      <c r="D6" s="31">
        <v>50.2376127859141</v>
      </c>
      <c r="E6" s="31">
        <v>51.10842560032735</v>
      </c>
      <c r="F6" s="31">
        <v>53.84581103264452</v>
      </c>
    </row>
    <row r="7" spans="1:6" x14ac:dyDescent="0.25">
      <c r="A7" s="30">
        <v>0.066603</v>
      </c>
      <c r="B7" s="31">
        <v>11.438480976664962</v>
      </c>
      <c r="C7" s="31">
        <v>8.700692078085526</v>
      </c>
      <c r="D7" s="32">
        <v>5.96290317950609</v>
      </c>
      <c r="E7" s="31">
        <v>3.2251142809266904</v>
      </c>
      <c r="F7" s="31">
        <v>0.48732538234725437</v>
      </c>
    </row>
    <row r="8" spans="1:6" x14ac:dyDescent="0.25">
      <c r="A8" s="30">
        <v>0.076603</v>
      </c>
      <c r="B8" s="31">
        <v>-13.86695682678829</v>
      </c>
      <c r="C8" s="31">
        <v>-16.117469226702188</v>
      </c>
      <c r="D8" s="31">
        <v>-18.367981626616068</v>
      </c>
      <c r="E8" s="31">
        <v>-20.618494026529948</v>
      </c>
      <c r="F8" s="31">
        <v>-22.86900642644388</v>
      </c>
    </row>
    <row r="9" spans="1:6" x14ac:dyDescent="0.25">
      <c r="A9" s="30">
        <v>0.086603</v>
      </c>
      <c r="B9" s="31">
        <v>-32.93460733684542</v>
      </c>
      <c r="C9" s="31">
        <v>-34.81827504931652</v>
      </c>
      <c r="D9" s="31">
        <v>-36.701942761787635</v>
      </c>
      <c r="E9" s="31">
        <v>-38.585610474258736</v>
      </c>
      <c r="F9" s="31">
        <v>-40.46927818672987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15814000000</v>
      </c>
      <c r="C5" s="18">
        <v>12457000000</v>
      </c>
      <c r="D5" s="18">
        <v>12745000000</v>
      </c>
      <c r="E5" s="18">
        <v>19228000000</v>
      </c>
      <c r="F5" s="6" t="s">
        <v>91</v>
      </c>
    </row>
    <row r="6" spans="1:6" x14ac:dyDescent="0.25">
      <c r="A6" t="s">
        <v>51</v>
      </c>
      <c r="B6" s="18">
        <v>2528000000</v>
      </c>
      <c r="C6" s="18">
        <v>2205000000</v>
      </c>
      <c r="D6" s="18">
        <v>2301000000</v>
      </c>
      <c r="E6" s="18">
        <v>1772000000</v>
      </c>
      <c r="F6" s="6" t="s">
        <v>92</v>
      </c>
    </row>
    <row r="7" spans="1:6" x14ac:dyDescent="0.25">
      <c r="A7" t="s">
        <v>93</v>
      </c>
      <c r="B7" s="18">
        <v>1283000000</v>
      </c>
      <c r="C7" s="18">
        <v>1332000000</v>
      </c>
      <c r="D7" s="18">
        <v>1254000000</v>
      </c>
      <c r="E7" s="18">
        <v>1164000000</v>
      </c>
      <c r="F7" s="6" t="s">
        <v>94</v>
      </c>
    </row>
    <row r="8" spans="1:6" x14ac:dyDescent="0.25">
      <c r="A8" t="s">
        <v>95</v>
      </c>
      <c r="B8" s="18">
        <v>4429000000</v>
      </c>
      <c r="C8" s="18">
        <v>4467000000</v>
      </c>
      <c r="D8" s="18">
        <v>3934000000</v>
      </c>
      <c r="E8" s="18">
        <v>3378000000</v>
      </c>
      <c r="F8" s="6" t="s">
        <v>96</v>
      </c>
    </row>
    <row r="9" spans="1:6" x14ac:dyDescent="0.25">
      <c r="A9" t="s">
        <v>97</v>
      </c>
      <c r="B9" s="18">
        <v>163000000</v>
      </c>
      <c r="C9" s="18">
        <v>-400000000</v>
      </c>
      <c r="D9" s="18">
        <v>-65000000</v>
      </c>
      <c r="E9" s="18">
        <v>751000000</v>
      </c>
      <c r="F9" s="6" t="s">
        <v>98</v>
      </c>
    </row>
    <row r="10" spans="1:6" x14ac:dyDescent="0.25">
      <c r="A10" t="s">
        <v>99</v>
      </c>
      <c r="B10" s="18">
        <v>26290000000</v>
      </c>
      <c r="C10" s="18">
        <v>23241000000</v>
      </c>
      <c r="D10" s="18">
        <v>20970000000</v>
      </c>
      <c r="E10" s="18">
        <v>19240000000</v>
      </c>
      <c r="F10" s="6" t="s">
        <v>100</v>
      </c>
    </row>
    <row r="11" spans="1:6" x14ac:dyDescent="0.25">
      <c r="A11" t="s">
        <v>101</v>
      </c>
      <c r="B11" s="18">
        <v>208000000</v>
      </c>
      <c r="C11" s="18">
        <v>24000000</v>
      </c>
      <c r="D11" s="18">
        <v>26000000</v>
      </c>
      <c r="E11" s="18">
        <v>33000000</v>
      </c>
      <c r="F11" s="6" t="s">
        <v>102</v>
      </c>
    </row>
    <row r="12" spans="1:6" x14ac:dyDescent="0.25">
      <c r="A12" t="s">
        <v>34</v>
      </c>
      <c r="B12" s="34">
        <v>207000000</v>
      </c>
      <c r="C12" s="34">
        <v>207000000</v>
      </c>
      <c r="D12" s="34">
        <v>206000000</v>
      </c>
      <c r="E12" s="34">
        <v>196000000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