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<sst xmlns="http://schemas.openxmlformats.org/spreadsheetml/2006/main" count="113" uniqueCount="101">
  <si>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DTE Energy Company (DTE)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</si>
  <si>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</si>
  <si>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</si>
  <si>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</si>
  <si>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</si>
  <si>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</si>
  <si>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</si>
  <si>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</si>
  <si>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</si>
  <si>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</si>
  <si>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</si>
  <si>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</si>
  <si>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</si>
  <si>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</si>
  <si>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</si>
  <si>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</si>
  <si>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</si>
  <si>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</si>
  <si>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</si>
  <si>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</si>
  <si>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</si>
  <si>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</si>
  <si>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</si>
  <si>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</si>
  <si>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</si>
  <si>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</si>
  <si>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</si>
  <si>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</si>
  <si>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</si>
  <si>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</si>
  <si>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</si>
  <si>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</si>
  <si>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</si>
  <si>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</si>
  <si>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</si>
  <si>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</si>
  <si>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</si>
  <si>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</si>
  <si>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</si>
  <si>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</si>
  <si>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</si>
  <si>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</si>
  <si>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</si>
  <si>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</si>
  <si>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</si>
  <si>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</si>
  <si>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</si>
  <si>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</si>
  <si>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</si>
  <si>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</si>
  <si>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</si>
  <si>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</si>
  <si>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</si>
  <si>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</si>
  <si>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</si>
  <si>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</si>
  <si>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</si>
  <si>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</si>
  <si>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</si>
  <si>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</si>
  <si>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</si>
  <si>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</si>
  <si>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</si>
  <si>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</si>
  <si>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</si>
  <si>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</si>
  <si>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</si>
  <si>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</si>
  <si>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</si>
  <si>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</si>
  <si>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</si>
  <si>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</si>
  <si>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</si>
  <si>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</si>
  <si>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</si>
  <si>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</si>
  <si>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</si>
  <si>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</si>
  <si>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</si>
  <si>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</si>
  <si>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</si>
  <si>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</si>
  <si>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</si>
  <si>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</si>
  <si>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</si>
  <si>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</si>
  <si>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</si>
  <si>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</si>
  <si>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</si>
  <si>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</si>
  <si>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</si>
  <si>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</si>
  <si>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</si>
  <si>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</si>
  <si>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</si>
  <si>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</si>
  <si>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</si>
  <si>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</si>
  <si>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</si>
  <si>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Adjusted: Capital expenditure runs at 28.1% of revenue against depreciation of 8.7%.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</si>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</sst>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-0.06307993398170852</v>
      </c>
    </row>
    <row r="7" spans="1:2" x14ac:dyDescent="0.25">
      <c r="A7" t="s">
        <v>5</v>
      </c>
      <c r="B7" s="6">
        <v>0.15239148085932905</v>
      </c>
    </row>
    <row r="8" spans="1:2" x14ac:dyDescent="0.25">
      <c r="A8" t="s">
        <v>6</v>
      </c>
      <c r="B8" s="6">
        <v>0.0567741935483871</v>
      </c>
    </row>
    <row r="9" spans="1:2" x14ac:dyDescent="0.25">
      <c r="A9" t="s">
        <v>7</v>
      </c>
      <c r="B9" s="6">
        <v>0.08674667971263553</v>
      </c>
    </row>
    <row r="10" spans="1:2" x14ac:dyDescent="0.25">
      <c r="A10" t="s">
        <v>8</v>
      </c>
      <c r="B10" s="6">
        <v>0.28075330514232605</v>
      </c>
    </row>
    <row r="11" spans="1:2" x14ac:dyDescent="0.25">
      <c r="A11" t="s">
        <v>9</v>
      </c>
      <c r="B11" s="6">
        <v>0.04855525767053917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13.861316786145368</v>
      </c>
    </row>
    <row r="14" spans="1:3" x14ac:dyDescent="0.25">
      <c r="A14" t="s">
        <v>12</v>
      </c>
      <c r="B14" s="6">
        <v>0.0649359718609779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0.58996</v>
      </c>
      <c r="C19" s="8" t="s">
        <v>19</v>
      </c>
    </row>
    <row r="20" spans="1:2" x14ac:dyDescent="0.25">
      <c r="A20" t="s">
        <v>20</v>
      </c>
      <c r="B20" s="10">
        <f>B17+B19*B18</f>
        <v>0.08242780000000001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26743478272</v>
      </c>
    </row>
    <row r="23" spans="1:2" x14ac:dyDescent="0.25">
      <c r="A23" t="s">
        <v>24</v>
      </c>
      <c r="B23" s="11">
        <v>26290000000</v>
      </c>
    </row>
    <row r="24" spans="1:2" x14ac:dyDescent="0.25">
      <c r="A24" t="s">
        <v>25</v>
      </c>
      <c r="B24" s="10">
        <f>B22/(B22+B23)</f>
        <v>0.5042753962852878</v>
      </c>
    </row>
    <row r="25" spans="1:2" x14ac:dyDescent="0.25">
      <c r="A25" t="s">
        <v>26</v>
      </c>
      <c r="B25" s="10">
        <f>1-B24</f>
        <v>0.49572460371471216</v>
      </c>
    </row>
    <row r="26" spans="1:2" x14ac:dyDescent="0.25">
      <c r="A26" t="s">
        <v>27</v>
      </c>
      <c r="B26" s="12">
        <f>B24*B20+B25*B21*(1-B8)</f>
        <v>0.0649359718609779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15814000000</v>
      </c>
      <c r="C29" s="8" t="s">
        <v>30</v>
      </c>
    </row>
    <row r="30" spans="1:2" x14ac:dyDescent="0.25">
      <c r="A30" t="s">
        <v>31</v>
      </c>
      <c r="B30" s="11">
        <v>26082000000</v>
      </c>
    </row>
    <row r="31" spans="1:2" x14ac:dyDescent="0.25">
      <c r="A31" t="s">
        <v>32</v>
      </c>
      <c r="B31" s="13">
        <v>207000000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-0.06307993398170852</v>
      </c>
      <c r="C5" s="10">
        <f>Assumptions!B6</f>
        <v>-0.06307993398170852</v>
      </c>
      <c r="D5" s="10">
        <f>Assumptions!B6</f>
        <v>-0.06307993398170852</v>
      </c>
      <c r="E5" s="10">
        <f>Assumptions!B6</f>
        <v>-0.06307993398170852</v>
      </c>
      <c r="F5" s="10">
        <f>Assumptions!B6</f>
        <v>-0.06307993398170852</v>
      </c>
    </row>
    <row r="6" spans="1:6" x14ac:dyDescent="0.25">
      <c r="A6" t="s">
        <v>43</v>
      </c>
      <c r="B6" s="18">
        <f>Assumptions!B29*(1+B5)</f>
        <v>14816453924.013262</v>
      </c>
      <c r="C6" s="18">
        <f>B6*(1+C5)</f>
        <v>13881832988.643478</v>
      </c>
      <c r="D6" s="18">
        <f>C6*(1+D5)</f>
        <v>13006167880.174744</v>
      </c>
      <c r="E6" s="18">
        <f>D6*(1+E5)</f>
        <v>12185739668.938303</v>
      </c>
      <c r="F6" s="18">
        <f>E6*(1+F5)</f>
        <v>11417064015.103388</v>
      </c>
    </row>
    <row r="7" spans="1:6" x14ac:dyDescent="0.25">
      <c r="A7" t="s">
        <v>5</v>
      </c>
      <c r="B7" s="10">
        <f>Assumptions!B7</f>
        <v>0.15239148085932905</v>
      </c>
      <c r="C7" s="10">
        <f>Assumptions!B7</f>
        <v>0.15239148085932905</v>
      </c>
      <c r="D7" s="10">
        <f>Assumptions!B7</f>
        <v>0.15239148085932905</v>
      </c>
      <c r="E7" s="10">
        <f>Assumptions!B7</f>
        <v>0.15239148085932905</v>
      </c>
      <c r="F7" s="10">
        <f>Assumptions!B7</f>
        <v>0.15239148085932905</v>
      </c>
    </row>
    <row r="8" spans="1:6" x14ac:dyDescent="0.25">
      <c r="A8" t="s">
        <v>44</v>
      </c>
      <c r="B8" s="18">
        <f>B6*B7</f>
        <v>2257901354.564398</v>
      </c>
      <c r="C8" s="18">
        <f>C6*C7</f>
        <v>2115473086.181265</v>
      </c>
      <c r="D8" s="18">
        <f>D6*D7</f>
        <v>1982029183.5648696</v>
      </c>
      <c r="E8" s="18">
        <f>E6*E7</f>
        <v>1857002913.515778</v>
      </c>
      <c r="F8" s="18">
        <f>F6*F7</f>
        <v>1739863292.3273623</v>
      </c>
    </row>
    <row r="9" spans="1:6" x14ac:dyDescent="0.25">
      <c r="A9" t="s">
        <v>45</v>
      </c>
      <c r="B9" s="18">
        <f>B8*(1-Assumptions!B8)</f>
        <v>2129710826.0471933</v>
      </c>
      <c r="C9" s="18">
        <f>C8*(1-Assumptions!B8)</f>
        <v>1995368807.7400062</v>
      </c>
      <c r="D9" s="18">
        <f>D8*(1-Assumptions!B8)</f>
        <v>1869501075.0786061</v>
      </c>
      <c r="E9" s="18">
        <f>E8*(1-Assumptions!B8)</f>
        <v>1751573070.6839147</v>
      </c>
      <c r="F9" s="18">
        <f>F8*(1-Assumptions!B8)</f>
        <v>1641083957.0210347</v>
      </c>
    </row>
    <row r="10" spans="1:6" x14ac:dyDescent="0.25">
      <c r="A10" t="s">
        <v>46</v>
      </c>
      <c r="B10" s="18">
        <f>B6*Assumptions!B9</f>
        <v>1285278183.0234003</v>
      </c>
      <c r="C10" s="18">
        <f>C6*Assumptions!B9</f>
        <v>1204202920.090154</v>
      </c>
      <c r="D10" s="18">
        <f>D6*Assumptions!B9</f>
        <v>1128241879.3902862</v>
      </c>
      <c r="E10" s="18">
        <f>E6*Assumptions!B9</f>
        <v>1057072456.1229483</v>
      </c>
      <c r="F10" s="18">
        <f>F6*Assumptions!B9</f>
        <v>990392395.3768302</v>
      </c>
    </row>
    <row r="11" spans="1:6" x14ac:dyDescent="0.25">
      <c r="A11" t="s">
        <v>47</v>
      </c>
      <c r="B11" s="18">
        <f>-B6*Assumptions!B10</f>
        <v>-4159768409.6557093</v>
      </c>
      <c r="C11" s="18">
        <f>-C6*Assumptions!B10</f>
        <v>-3897370492.9954305</v>
      </c>
      <c r="D11" s="18">
        <f>-D6*Assumptions!B10</f>
        <v>-3651524619.59502</v>
      </c>
      <c r="E11" s="18">
        <f>-E6*Assumptions!B10</f>
        <v>-3421186687.6583824</v>
      </c>
      <c r="F11" s="18">
        <f>-F6*Assumptions!B10</f>
        <v>-3205378457.2617917</v>
      </c>
    </row>
    <row r="12" spans="1:6" x14ac:dyDescent="0.25">
      <c r="A12" t="s">
        <v>48</v>
      </c>
      <c r="B12" s="18">
        <f>-(B6-Assumptions!B29)*Assumptions!B11</f>
        <v>48436106.75777132</v>
      </c>
      <c r="C12" s="18">
        <f>-(C6-B6)*Assumptions!B11</f>
        <v>45380760.34116017</v>
      </c>
      <c r="D12" s="18">
        <f>-(D6-C6)*Assumptions!B11</f>
        <v>42518144.97480005</v>
      </c>
      <c r="E12" s="18">
        <f>-(E6-D6)*Assumptions!B11</f>
        <v>39836103.196764916</v>
      </c>
      <c r="F12" s="18">
        <f>-(F6-E6)*Assumptions!B11</f>
        <v>37323244.437024474</v>
      </c>
    </row>
    <row r="13" spans="1:6" x14ac:dyDescent="0.25">
      <c r="A13" s="19" t="s">
        <v>49</v>
      </c>
      <c r="B13" s="20">
        <f>B9+B10+B11+B12</f>
        <v>-696343293.8273441</v>
      </c>
      <c r="C13" s="20">
        <f>C9+C10+C11+C12</f>
        <v>-652418004.8241102</v>
      </c>
      <c r="D13" s="20">
        <f>D9+D10+D11+D12</f>
        <v>-611263520.1513276</v>
      </c>
      <c r="E13" s="20">
        <f>E9+E10+E11+E12</f>
        <v>-572705057.6547546</v>
      </c>
      <c r="F13" s="20">
        <f>F9+F10+F11+F12</f>
        <v>-536578860.4269024</v>
      </c>
    </row>
    <row r="14" spans="1:6" x14ac:dyDescent="0.25">
      <c r="A14" t="s">
        <v>50</v>
      </c>
      <c r="B14" s="21">
        <f>1/(1+Assumptions!$B$26)^(1-0.5*Assumptions!$B$32)</f>
        <v>0.9690322959258987</v>
      </c>
      <c r="C14" s="21">
        <f>1/(1+Assumptions!$B$26)^(2-0.5*Assumptions!$B$32)</f>
        <v>0.9099441858767459</v>
      </c>
      <c r="D14" s="21">
        <f>1/(1+Assumptions!$B$26)^(3-0.5*Assumptions!$B$32)</f>
        <v>0.8544590566197294</v>
      </c>
      <c r="E14" s="21">
        <f>1/(1+Assumptions!$B$26)^(4-0.5*Assumptions!$B$32)</f>
        <v>0.8023572113228181</v>
      </c>
      <c r="F14" s="21">
        <f>1/(1+Assumptions!$B$26)^(5-0.5*Assumptions!$B$32)</f>
        <v>0.7534323494779666</v>
      </c>
    </row>
    <row r="15" spans="1:6" x14ac:dyDescent="0.25">
      <c r="A15" s="19" t="s">
        <v>51</v>
      </c>
      <c r="B15" s="20">
        <f>B13*B14</f>
        <v>-674779140.7701138</v>
      </c>
      <c r="C15" s="20">
        <f>C13*C14</f>
        <v>-593663970.2510058</v>
      </c>
      <c r="D15" s="20">
        <f>D13*D14</f>
        <v>-522299650.77455837</v>
      </c>
      <c r="E15" s="20">
        <f>E13*E14</f>
        <v>-459514032.9703427</v>
      </c>
      <c r="F15" s="20">
        <f>F13*F14</f>
        <v>-404275871.491651</v>
      </c>
    </row>
    <row r="17" spans="1:2" x14ac:dyDescent="0.25">
      <c r="A17" s="22" t="s">
        <v>52</v>
      </c>
      <c r="B17" s="23">
        <f>SUM(B15:F15)</f>
        <v>-2654532666.257672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-536578860.4269024</v>
      </c>
    </row>
    <row r="5" spans="1:2" x14ac:dyDescent="0.25">
      <c r="A5" t="s">
        <v>56</v>
      </c>
      <c r="B5" s="18">
        <f>IF(Assumptions!$B$33=0,B4,B4-Forecast!F11-Forecast!F10-Forecast!F12)</f>
        <v>1653015062.860639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0.38499462291136205</v>
      </c>
    </row>
    <row r="7" spans="1:2" x14ac:dyDescent="0.25">
      <c r="A7" t="s">
        <v>58</v>
      </c>
      <c r="B7" s="18">
        <f>-MAX(Forecast!F9,0)*B6</f>
        <v>-636401910.7928332</v>
      </c>
    </row>
    <row r="8" spans="1:2" x14ac:dyDescent="0.25">
      <c r="A8" t="s">
        <v>59</v>
      </c>
      <c r="B8" s="18">
        <f>IF(OR(Assumptions!$B$33=0,Assumptions!B12&lt;=0),B5,MAX(B5+B7,0))</f>
        <v>1016613152.0678059</v>
      </c>
    </row>
    <row r="9" spans="1:2" x14ac:dyDescent="0.25">
      <c r="A9" t="s">
        <v>60</v>
      </c>
      <c r="B9" s="18">
        <f>B8*(1+Assumptions!B12)/(Assumptions!B26-Assumptions!B12)</f>
        <v>26092478342.506157</v>
      </c>
    </row>
    <row r="10" spans="1:2" x14ac:dyDescent="0.25">
      <c r="A10" t="s">
        <v>61</v>
      </c>
      <c r="B10" s="18">
        <f>B9/(1+Assumptions!B26)^(5-0.5*Assumptions!B32)</f>
        <v>19658917261.29737</v>
      </c>
    </row>
    <row r="11" spans="1:2" x14ac:dyDescent="0.25">
      <c r="A11" t="s">
        <v>62</v>
      </c>
      <c r="B11" s="18">
        <f>Forecast!B17+B10</f>
        <v>17004384595.0397</v>
      </c>
    </row>
    <row r="12" spans="1:2" x14ac:dyDescent="0.25">
      <c r="A12" t="s">
        <v>63</v>
      </c>
      <c r="B12" s="18">
        <f>-Assumptions!B30</f>
        <v>-26082000000</v>
      </c>
    </row>
    <row r="13" spans="1:2" x14ac:dyDescent="0.25">
      <c r="A13" t="s">
        <v>64</v>
      </c>
      <c r="B13" s="18">
        <f>B11+B12</f>
        <v>-9077615404.9603</v>
      </c>
    </row>
    <row r="14" spans="1:2" x14ac:dyDescent="0.25">
      <c r="A14" s="19" t="s">
        <v>65</v>
      </c>
      <c r="B14" s="24">
        <f>B13/Assumptions!B31</f>
        <v>-43.85321451671643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2730255687.7041926</v>
      </c>
    </row>
    <row r="18" spans="1:2" x14ac:dyDescent="0.25">
      <c r="A18" t="s">
        <v>60</v>
      </c>
      <c r="B18" s="18">
        <f>B17*Assumptions!B13</f>
        <v>37844938994.44299</v>
      </c>
    </row>
    <row r="19" spans="1:2" x14ac:dyDescent="0.25">
      <c r="A19" t="s">
        <v>61</v>
      </c>
      <c r="B19" s="18">
        <f>B18/(1+Assumptions!B26)^(5-0.5*Assumptions!B32)</f>
        <v>28513601302.4335</v>
      </c>
    </row>
    <row r="20" spans="1:2" x14ac:dyDescent="0.25">
      <c r="A20" t="s">
        <v>62</v>
      </c>
      <c r="B20" s="18">
        <f>Forecast!B17+B19</f>
        <v>25859068636.175827</v>
      </c>
    </row>
    <row r="21" spans="1:2" x14ac:dyDescent="0.25">
      <c r="A21" t="s">
        <v>63</v>
      </c>
      <c r="B21" s="18">
        <f>-Assumptions!B30</f>
        <v>-26082000000</v>
      </c>
    </row>
    <row r="22" spans="1:2" x14ac:dyDescent="0.25">
      <c r="A22" t="s">
        <v>64</v>
      </c>
      <c r="B22" s="18">
        <f>B20+B21</f>
        <v>-222931363.82417297</v>
      </c>
    </row>
    <row r="23" spans="1:2" x14ac:dyDescent="0.25">
      <c r="A23" s="19" t="s">
        <v>65</v>
      </c>
      <c r="B23" s="25">
        <f>B22/Assumptions!B31</f>
        <v>-1.0769631102617052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128.52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-43.85321451671643</v>
      </c>
    </row>
    <row r="29" spans="1:2" x14ac:dyDescent="0.25">
      <c r="A29" s="19" t="s">
        <v>73</v>
      </c>
      <c r="B29" s="12">
        <f>B28/B26-1</f>
        <v>-1.3412170441699067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0.044936</v>
      </c>
      <c r="B5" s="31">
        <v>28.199919663566035</v>
      </c>
      <c r="C5" s="31">
        <v>40.84594593841722</v>
      </c>
      <c r="D5" s="31">
        <v>59.56613665309666</v>
      </c>
      <c r="E5" s="31">
        <v>90.46068373298107</v>
      </c>
      <c r="F5" s="31">
        <v>151.90874835742554</v>
      </c>
    </row>
    <row r="6" spans="1:6" x14ac:dyDescent="0.25">
      <c r="A6" s="30">
        <v>0.054936</v>
      </c>
      <c r="B6" s="31">
        <v>-18.74746899309009</v>
      </c>
      <c r="C6" s="31">
        <v>-15.853730757598674</v>
      </c>
      <c r="D6" s="31">
        <v>-12.165070743373649</v>
      </c>
      <c r="E6" s="31">
        <v>-7.2033117495403935</v>
      </c>
      <c r="F6" s="31">
        <v>-0.010564295053564984</v>
      </c>
    </row>
    <row r="7" spans="1:6" x14ac:dyDescent="0.25">
      <c r="A7" s="30">
        <v>0.064936</v>
      </c>
      <c r="B7" s="31">
        <v>-44.77980827389895</v>
      </c>
      <c r="C7" s="31">
        <v>-44.31653723808239</v>
      </c>
      <c r="D7" s="32">
        <v>-43.853266202265864</v>
      </c>
      <c r="E7" s="31">
        <v>-43.3899951664493</v>
      </c>
      <c r="F7" s="31">
        <v>-42.92672413063278</v>
      </c>
    </row>
    <row r="8" spans="1:6" x14ac:dyDescent="0.25">
      <c r="A8" s="30">
        <v>0.074936</v>
      </c>
      <c r="B8" s="31">
        <v>-60.42091310884864</v>
      </c>
      <c r="C8" s="31">
        <v>-60.03599864787786</v>
      </c>
      <c r="D8" s="31">
        <v>-59.65108418690711</v>
      </c>
      <c r="E8" s="31">
        <v>-59.266169725936365</v>
      </c>
      <c r="F8" s="31">
        <v>-58.88125526496559</v>
      </c>
    </row>
    <row r="9" spans="1:6" x14ac:dyDescent="0.25">
      <c r="A9" s="30">
        <v>0.084936</v>
      </c>
      <c r="B9" s="31">
        <v>-72.17874207209698</v>
      </c>
      <c r="C9" s="31">
        <v>-71.85300579734805</v>
      </c>
      <c r="D9" s="31">
        <v>-71.52726952259916</v>
      </c>
      <c r="E9" s="31">
        <v>-71.20153324785025</v>
      </c>
      <c r="F9" s="31">
        <v>-70.87579697310133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15814000000</v>
      </c>
      <c r="C5" s="18">
        <v>12457000000</v>
      </c>
      <c r="D5" s="18">
        <v>12745000000</v>
      </c>
      <c r="E5" s="18">
        <v>19228000000</v>
      </c>
      <c r="F5" s="8" t="s">
        <v>84</v>
      </c>
    </row>
    <row r="6" spans="1:6" x14ac:dyDescent="0.25">
      <c r="A6" t="s">
        <v>44</v>
      </c>
      <c r="B6" s="18">
        <v>2528000000</v>
      </c>
      <c r="C6" s="18">
        <v>2205000000</v>
      </c>
      <c r="D6" s="18">
        <v>2301000000</v>
      </c>
      <c r="E6" s="18">
        <v>1772000000</v>
      </c>
      <c r="F6" s="8" t="s">
        <v>85</v>
      </c>
    </row>
    <row r="7" spans="1:6" x14ac:dyDescent="0.25">
      <c r="A7" t="s">
        <v>86</v>
      </c>
      <c r="B7" s="18">
        <v>1283000000</v>
      </c>
      <c r="C7" s="18">
        <v>1332000000</v>
      </c>
      <c r="D7" s="18">
        <v>1254000000</v>
      </c>
      <c r="E7" s="18">
        <v>1164000000</v>
      </c>
      <c r="F7" s="8" t="s">
        <v>87</v>
      </c>
    </row>
    <row r="8" spans="1:6" x14ac:dyDescent="0.25">
      <c r="A8" t="s">
        <v>88</v>
      </c>
      <c r="B8" s="18">
        <v>4429000000</v>
      </c>
      <c r="C8" s="18">
        <v>4467000000</v>
      </c>
      <c r="D8" s="18">
        <v>3934000000</v>
      </c>
      <c r="E8" s="18">
        <v>3378000000</v>
      </c>
      <c r="F8" s="8" t="s">
        <v>89</v>
      </c>
    </row>
    <row r="9" spans="1:6" x14ac:dyDescent="0.25">
      <c r="A9" t="s">
        <v>90</v>
      </c>
      <c r="B9" s="18">
        <v>163000000</v>
      </c>
      <c r="C9" s="18">
        <v>-400000000</v>
      </c>
      <c r="D9" s="18">
        <v>-65000000</v>
      </c>
      <c r="E9" s="18">
        <v>751000000</v>
      </c>
      <c r="F9" s="8" t="s">
        <v>91</v>
      </c>
    </row>
    <row r="10" spans="1:6" x14ac:dyDescent="0.25">
      <c r="A10" t="s">
        <v>92</v>
      </c>
      <c r="B10" s="18">
        <v>26290000000</v>
      </c>
      <c r="C10" s="18">
        <v>23241000000</v>
      </c>
      <c r="D10" s="18">
        <v>20970000000</v>
      </c>
      <c r="E10" s="18">
        <v>19240000000</v>
      </c>
      <c r="F10" s="8" t="s">
        <v>93</v>
      </c>
    </row>
    <row r="11" spans="1:6" x14ac:dyDescent="0.25">
      <c r="A11" t="s">
        <v>94</v>
      </c>
      <c r="B11" s="18">
        <v>208000000</v>
      </c>
      <c r="C11" s="18">
        <v>24000000</v>
      </c>
      <c r="D11" s="18">
        <v>26000000</v>
      </c>
      <c r="E11" s="18">
        <v>33000000</v>
      </c>
      <c r="F11" s="8" t="s">
        <v>95</v>
      </c>
    </row>
    <row r="12" spans="1:6" x14ac:dyDescent="0.25">
      <c r="A12" t="s">
        <v>32</v>
      </c>
      <c r="B12" s="34">
        <v>207000000</v>
      </c>
      <c r="C12" s="34">
        <v>207000000</v>
      </c>
      <c r="D12" s="34">
        <v>206000000</v>
      </c>
      <c r="E12" s="34">
        <v>196000000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2026-09-19T00:07:18Z</dcterms:modified>
</cp:coreProperties>
</file>