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<sst xmlns="http://schemas.openxmlformats.org/spreadsheetml/2006/main" count="114" uniqueCount="101">
  <si>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Deutsche Telekom AG (DTE.DE)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</si>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</sst>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0.013704139638359258</v>
      </c>
    </row>
    <row r="7" spans="1:2" x14ac:dyDescent="0.25">
      <c r="A7" t="s">
        <v>5</v>
      </c>
      <c r="B7" s="6">
        <v>0.1851729658784717</v>
      </c>
    </row>
    <row r="8" spans="1:2" x14ac:dyDescent="0.25">
      <c r="A8" t="s">
        <v>6</v>
      </c>
      <c r="B8" s="6">
        <v>0.23271237580045528</v>
      </c>
    </row>
    <row r="9" spans="1:2" x14ac:dyDescent="0.25">
      <c r="A9" t="s">
        <v>7</v>
      </c>
      <c r="B9" s="6">
        <v>0.2175737468505671</v>
      </c>
    </row>
    <row r="10" spans="1:2" x14ac:dyDescent="0.25">
      <c r="A10" t="s">
        <v>8</v>
      </c>
      <c r="B10" s="6">
        <v>0.17550570542471117</v>
      </c>
    </row>
    <row r="11" spans="1:2" x14ac:dyDescent="0.25">
      <c r="A11" t="s">
        <v>9</v>
      </c>
      <c r="B11" s="6">
        <v>0.45069681830134106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5.30075822110999</v>
      </c>
    </row>
    <row r="14" spans="1:3" x14ac:dyDescent="0.25">
      <c r="A14" t="s">
        <v>12</v>
      </c>
      <c r="B14" s="6">
        <v>0.10764412299666873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0.54775</v>
      </c>
      <c r="C19" s="8" t="s">
        <v>19</v>
      </c>
    </row>
    <row r="20" spans="1:2" x14ac:dyDescent="0.25">
      <c r="A20" t="s">
        <v>20</v>
      </c>
      <c r="B20" s="10">
        <f>B17+B19*B18</f>
        <v>0.058865</v>
      </c>
    </row>
    <row r="21" spans="1:3" x14ac:dyDescent="0.25">
      <c r="A21" t="s">
        <v>21</v>
      </c>
      <c r="B21" s="6">
        <v>0.04584605473236044</v>
      </c>
      <c r="C21" s="8" t="s">
        <v>22</v>
      </c>
    </row>
    <row r="22" spans="1:2" x14ac:dyDescent="0.25">
      <c r="A22" t="s">
        <v>23</v>
      </c>
      <c r="B22" s="11">
        <v>129656569856</v>
      </c>
    </row>
    <row r="23" spans="1:2" x14ac:dyDescent="0.25">
      <c r="A23" t="s">
        <v>24</v>
      </c>
      <c r="B23" s="11">
        <v>140462000000</v>
      </c>
    </row>
    <row r="24" spans="1:2" x14ac:dyDescent="0.25">
      <c r="A24" t="s">
        <v>25</v>
      </c>
      <c r="B24" s="10">
        <f>B22/(B22+B23)</f>
        <v>0.4799987276888065</v>
      </c>
    </row>
    <row r="25" spans="1:2" x14ac:dyDescent="0.25">
      <c r="A25" t="s">
        <v>26</v>
      </c>
      <c r="B25" s="10">
        <f>1-B24</f>
        <v>0.5200012723111935</v>
      </c>
    </row>
    <row r="26" spans="1:2" x14ac:dyDescent="0.25">
      <c r="A26" t="s">
        <v>27</v>
      </c>
      <c r="B26" s="12">
        <f>B24*B20+B25*B21*(1-B8)</f>
        <v>0.04654726727718081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118343000000</v>
      </c>
      <c r="C29" s="8" t="s">
        <v>30</v>
      </c>
    </row>
    <row r="30" spans="1:2" x14ac:dyDescent="0.25">
      <c r="A30" t="s">
        <v>31</v>
      </c>
      <c r="B30" s="11">
        <v>132996000000</v>
      </c>
    </row>
    <row r="31" spans="1:2" x14ac:dyDescent="0.25">
      <c r="A31" t="s">
        <v>32</v>
      </c>
      <c r="B31" s="13">
        <v>4871000000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0.013704139638359258</v>
      </c>
      <c r="C5" s="10">
        <f>Assumptions!B6</f>
        <v>0.013704139638359258</v>
      </c>
      <c r="D5" s="10">
        <f>Assumptions!B6</f>
        <v>0.013704139638359258</v>
      </c>
      <c r="E5" s="10">
        <f>Assumptions!B6</f>
        <v>0.013704139638359258</v>
      </c>
      <c r="F5" s="10">
        <f>Assumptions!B6</f>
        <v>0.013704139638359258</v>
      </c>
    </row>
    <row r="6" spans="1:6" x14ac:dyDescent="0.25">
      <c r="A6" t="s">
        <v>43</v>
      </c>
      <c r="B6" s="18">
        <f>Assumptions!B29*(1+B5)</f>
        <v>119964788997.22235</v>
      </c>
      <c r="C6" s="18">
        <f>B6*(1+C5)</f>
        <v>121608803217.32658</v>
      </c>
      <c r="D6" s="18">
        <f>C6*(1+D5)</f>
        <v>123275347237.87057</v>
      </c>
      <c r="E6" s="18">
        <f>D6*(1+E5)</f>
        <v>124964729810.38557</v>
      </c>
      <c r="F6" s="18">
        <f>E6*(1+F5)</f>
        <v>126677263917.57693</v>
      </c>
    </row>
    <row r="7" spans="1:6" x14ac:dyDescent="0.25">
      <c r="A7" t="s">
        <v>5</v>
      </c>
      <c r="B7" s="10">
        <f>Assumptions!B7</f>
        <v>0.1851729658784717</v>
      </c>
      <c r="C7" s="10">
        <f>Assumptions!B7</f>
        <v>0.1851729658784717</v>
      </c>
      <c r="D7" s="10">
        <f>Assumptions!B7</f>
        <v>0.1851729658784717</v>
      </c>
      <c r="E7" s="10">
        <f>Assumptions!B7</f>
        <v>0.1851729658784717</v>
      </c>
      <c r="F7" s="10">
        <f>Assumptions!B7</f>
        <v>0.1851729658784717</v>
      </c>
    </row>
    <row r="8" spans="1:6" x14ac:dyDescent="0.25">
      <c r="A8" t="s">
        <v>44</v>
      </c>
      <c r="B8" s="18">
        <f>B6*B7</f>
        <v>22214235779.60071</v>
      </c>
      <c r="C8" s="18">
        <f>C6*C7</f>
        <v>22518662768.683796</v>
      </c>
      <c r="D8" s="18">
        <f>D6*D7</f>
        <v>22827261667.73496</v>
      </c>
      <c r="E8" s="18">
        <f>E6*E7</f>
        <v>23140089649.190964</v>
      </c>
      <c r="F8" s="18">
        <f>F6*F7</f>
        <v>23457204668.98763</v>
      </c>
    </row>
    <row r="9" spans="1:6" x14ac:dyDescent="0.25">
      <c r="A9" t="s">
        <v>45</v>
      </c>
      <c r="B9" s="18">
        <f>B8*(1-Assumptions!B8)</f>
        <v>17044708194.738352</v>
      </c>
      <c r="C9" s="18">
        <f>C8*(1-Assumptions!B8)</f>
        <v>17278291255.93413</v>
      </c>
      <c r="D9" s="18">
        <f>D8*(1-Assumptions!B8)</f>
        <v>17515075372.017696</v>
      </c>
      <c r="E9" s="18">
        <f>E8*(1-Assumptions!B8)</f>
        <v>17755104410.69221</v>
      </c>
      <c r="F9" s="18">
        <f>F8*(1-Assumptions!B8)</f>
        <v>17998422840.829987</v>
      </c>
    </row>
    <row r="10" spans="1:6" x14ac:dyDescent="0.25">
      <c r="A10" t="s">
        <v>46</v>
      </c>
      <c r="B10" s="18">
        <f>B6*Assumptions!B9</f>
        <v>26101188632.263355</v>
      </c>
      <c r="C10" s="18">
        <f>C6*Assumptions!B9</f>
        <v>26458882966.007046</v>
      </c>
      <c r="D10" s="18">
        <f>D6*Assumptions!B9</f>
        <v>26821479192.84821</v>
      </c>
      <c r="E10" s="18">
        <f>E6*Assumptions!B9</f>
        <v>27189044489.014347</v>
      </c>
      <c r="F10" s="18">
        <f>F6*Assumptions!B9</f>
        <v>27561646951.325363</v>
      </c>
    </row>
    <row r="11" spans="1:6" x14ac:dyDescent="0.25">
      <c r="A11" t="s">
        <v>47</v>
      </c>
      <c r="B11" s="18">
        <f>-B6*Assumptions!B10</f>
        <v>-21054504919.084137</v>
      </c>
      <c r="C11" s="18">
        <f>-C6*Assumptions!B10</f>
        <v>-21343038794.511787</v>
      </c>
      <c r="D11" s="18">
        <f>-D6*Assumptions!B10</f>
        <v>-21635526778.458694</v>
      </c>
      <c r="E11" s="18">
        <f>-E6*Assumptions!B10</f>
        <v>-21932023058.580154</v>
      </c>
      <c r="F11" s="18">
        <f>-F6*Assumptions!B10</f>
        <v>-22232582565.12665</v>
      </c>
    </row>
    <row r="12" spans="1:6" x14ac:dyDescent="0.25">
      <c r="A12" t="s">
        <v>48</v>
      </c>
      <c r="B12" s="18">
        <f>-(B6-Assumptions!B29)*Assumptions!B11</f>
        <v>-730935141.0042361</v>
      </c>
      <c r="C12" s="18">
        <f>-(C6-B6)*Assumptions!B11</f>
        <v>-740951978.2431383</v>
      </c>
      <c r="D12" s="18">
        <f>-(D6-C6)*Assumptions!B11</f>
        <v>-751106087.6183015</v>
      </c>
      <c r="E12" s="18">
        <f>-(E6-D6)*Assumptions!B11</f>
        <v>-761399350.3262448</v>
      </c>
      <c r="F12" s="18">
        <f>-(F6-E6)*Assumptions!B11</f>
        <v>-771833673.343674</v>
      </c>
    </row>
    <row r="13" spans="1:6" x14ac:dyDescent="0.25">
      <c r="A13" s="19" t="s">
        <v>49</v>
      </c>
      <c r="B13" s="20">
        <f>B9+B10+B11+B12</f>
        <v>21360456766.913338</v>
      </c>
      <c r="C13" s="20">
        <f>C9+C10+C11+C12</f>
        <v>21653183449.186253</v>
      </c>
      <c r="D13" s="20">
        <f>D9+D10+D11+D12</f>
        <v>21949921698.78891</v>
      </c>
      <c r="E13" s="20">
        <f>E9+E10+E11+E12</f>
        <v>22250726490.80016</v>
      </c>
      <c r="F13" s="20">
        <f>F9+F10+F11+F12</f>
        <v>22555653553.685024</v>
      </c>
    </row>
    <row r="14" spans="1:6" x14ac:dyDescent="0.25">
      <c r="A14" t="s">
        <v>50</v>
      </c>
      <c r="B14" s="21">
        <f>1/(1+Assumptions!$B$26)^(1-0.5*Assumptions!$B$32)</f>
        <v>0.977508575327501</v>
      </c>
      <c r="C14" s="21">
        <f>1/(1+Assumptions!$B$26)^(2-0.5*Assumptions!$B$32)</f>
        <v>0.9340319409277148</v>
      </c>
      <c r="D14" s="21">
        <f>1/(1+Assumptions!$B$26)^(3-0.5*Assumptions!$B$32)</f>
        <v>0.8924890161509869</v>
      </c>
      <c r="E14" s="21">
        <f>1/(1+Assumptions!$B$26)^(4-0.5*Assumptions!$B$32)</f>
        <v>0.8527937954231062</v>
      </c>
      <c r="F14" s="21">
        <f>1/(1+Assumptions!$B$26)^(5-0.5*Assumptions!$B$32)</f>
        <v>0.8148640984385098</v>
      </c>
    </row>
    <row r="15" spans="1:6" x14ac:dyDescent="0.25">
      <c r="A15" s="19" t="s">
        <v>51</v>
      </c>
      <c r="B15" s="20">
        <f>B13*B14</f>
        <v>20880029662.570137</v>
      </c>
      <c r="C15" s="20">
        <f>C13*C14</f>
        <v>20224764964.307304</v>
      </c>
      <c r="D15" s="20">
        <f>D13*D14</f>
        <v>19590064021.543312</v>
      </c>
      <c r="E15" s="20">
        <f>E13*E14</f>
        <v>18975281495.01092</v>
      </c>
      <c r="F15" s="20">
        <f>F13*F14</f>
        <v>18379792297.714916</v>
      </c>
    </row>
    <row r="17" spans="1:2" x14ac:dyDescent="0.25">
      <c r="A17" s="22" t="s">
        <v>52</v>
      </c>
      <c r="B17" s="23">
        <f>SUM(B15:F15)</f>
        <v>98049932441.14659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22555653553.685024</v>
      </c>
    </row>
    <row r="5" spans="1:2" x14ac:dyDescent="0.25">
      <c r="A5" t="s">
        <v>56</v>
      </c>
      <c r="B5" s="18">
        <f>IF(Assumptions!$B$33=0,B4,B4-Forecast!F11-Forecast!F10-Forecast!F12)</f>
        <v>20792819539.861973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0.2322467711569695</v>
      </c>
    </row>
    <row r="7" spans="1:2" x14ac:dyDescent="0.25">
      <c r="A7" t="s">
        <v>58</v>
      </c>
      <c r="B7" s="18">
        <f>-MAX(Forecast!F9,0)*B6</f>
        <v>-4829065201.382487</v>
      </c>
    </row>
    <row r="8" spans="1:2" x14ac:dyDescent="0.25">
      <c r="A8" t="s">
        <v>59</v>
      </c>
      <c r="B8" s="18">
        <f>IF(OR(Assumptions!$B$33=0,Assumptions!B12&lt;=0),B5,MAX(B5+B7,0))</f>
        <v>15963754338.479485</v>
      </c>
    </row>
    <row r="9" spans="1:2" x14ac:dyDescent="0.25">
      <c r="A9" t="s">
        <v>60</v>
      </c>
      <c r="B9" s="18">
        <f>B8*(1+Assumptions!B12)/(Assumptions!B26-Assumptions!B12)</f>
        <v>759393197589.8499</v>
      </c>
    </row>
    <row r="10" spans="1:2" x14ac:dyDescent="0.25">
      <c r="A10" t="s">
        <v>61</v>
      </c>
      <c r="B10" s="18">
        <f>B9/(1+Assumptions!B26)^(5-0.5*Assumptions!B32)</f>
        <v>618802253314.3901</v>
      </c>
    </row>
    <row r="11" spans="1:2" x14ac:dyDescent="0.25">
      <c r="A11" t="s">
        <v>62</v>
      </c>
      <c r="B11" s="18">
        <f>Forecast!B17+B10</f>
        <v>716852185755.5367</v>
      </c>
    </row>
    <row r="12" spans="1:2" x14ac:dyDescent="0.25">
      <c r="A12" t="s">
        <v>63</v>
      </c>
      <c r="B12" s="18">
        <f>-Assumptions!B30</f>
        <v>-132996000000</v>
      </c>
    </row>
    <row r="13" spans="1:2" x14ac:dyDescent="0.25">
      <c r="A13" t="s">
        <v>64</v>
      </c>
      <c r="B13" s="18">
        <f>B11+B12</f>
        <v>583856185755.5367</v>
      </c>
    </row>
    <row r="14" spans="1:2" x14ac:dyDescent="0.25">
      <c r="A14" s="19" t="s">
        <v>65</v>
      </c>
      <c r="B14" s="24">
        <f>B13/Assumptions!B31</f>
        <v>119.86372115695683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51018851620.31299</v>
      </c>
    </row>
    <row r="18" spans="1:2" x14ac:dyDescent="0.25">
      <c r="A18" t="s">
        <v>60</v>
      </c>
      <c r="B18" s="18">
        <f>B17*Assumptions!B13</f>
        <v>270438597157.9648</v>
      </c>
    </row>
    <row r="19" spans="1:2" x14ac:dyDescent="0.25">
      <c r="A19" t="s">
        <v>61</v>
      </c>
      <c r="B19" s="18">
        <f>B18/(1+Assumptions!B26)^(5-0.5*Assumptions!B32)</f>
        <v>220370703656.10034</v>
      </c>
    </row>
    <row r="20" spans="1:2" x14ac:dyDescent="0.25">
      <c r="A20" t="s">
        <v>62</v>
      </c>
      <c r="B20" s="18">
        <f>Forecast!B17+B19</f>
        <v>318420636097.24695</v>
      </c>
    </row>
    <row r="21" spans="1:2" x14ac:dyDescent="0.25">
      <c r="A21" t="s">
        <v>63</v>
      </c>
      <c r="B21" s="18">
        <f>-Assumptions!B30</f>
        <v>-132996000000</v>
      </c>
    </row>
    <row r="22" spans="1:2" x14ac:dyDescent="0.25">
      <c r="A22" t="s">
        <v>64</v>
      </c>
      <c r="B22" s="18">
        <f>B20+B21</f>
        <v>185424636097.24695</v>
      </c>
    </row>
    <row r="23" spans="1:2" x14ac:dyDescent="0.25">
      <c r="A23" s="19" t="s">
        <v>65</v>
      </c>
      <c r="B23" s="25">
        <f>B22/Assumptions!B31</f>
        <v>38.06705729773085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119.86372115695683</v>
      </c>
    </row>
    <row r="29" spans="1:2" x14ac:dyDescent="0.25">
      <c r="A29" s="19" t="s">
        <v>73</v>
      </c>
      <c r="B29" s="12">
        <f>B28/B26-1</f>
        <v>3.421384033823564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0.026547</v>
      </c>
      <c r="B5" s="31">
        <v>280.8242155810012</v>
      </c>
      <c r="C5" s="31">
        <v>475.06353179010773</v>
      </c>
      <c r="D5" s="31">
        <v>1923.7507480384002</v>
      </c>
      <c r="E5" s="31" t="s">
        <v>76</v>
      </c>
      <c r="F5" s="31" t="s">
        <v>76</v>
      </c>
    </row>
    <row r="6" spans="1:6" x14ac:dyDescent="0.25">
      <c r="A6" s="30">
        <v>0.036547</v>
      </c>
      <c r="B6" s="31">
        <v>140.5527175242121</v>
      </c>
      <c r="C6" s="31">
        <v>175.59201851307887</v>
      </c>
      <c r="D6" s="31">
        <v>240.8301567359436</v>
      </c>
      <c r="E6" s="31">
        <v>405.45646448392733</v>
      </c>
      <c r="F6" s="31">
        <v>1633.1571362475208</v>
      </c>
    </row>
    <row r="7" spans="1:6" x14ac:dyDescent="0.25">
      <c r="A7" s="30">
        <v>0.046547</v>
      </c>
      <c r="B7" s="31">
        <v>89.1456998119032</v>
      </c>
      <c r="C7" s="31">
        <v>101.64304933599594</v>
      </c>
      <c r="D7" s="32">
        <v>119.8654555100896</v>
      </c>
      <c r="E7" s="31">
        <v>149.00273218261688</v>
      </c>
      <c r="F7" s="31">
        <v>203.23371866045426</v>
      </c>
    </row>
    <row r="8" spans="1:6" x14ac:dyDescent="0.25">
      <c r="A8" s="30">
        <v>0.056547</v>
      </c>
      <c r="B8" s="31">
        <v>62.439274103284994</v>
      </c>
      <c r="C8" s="31">
        <v>68.0979575239613</v>
      </c>
      <c r="D8" s="31">
        <v>75.5013018930132</v>
      </c>
      <c r="E8" s="31">
        <v>85.63510275139211</v>
      </c>
      <c r="F8" s="31">
        <v>100.40017447418062</v>
      </c>
    </row>
    <row r="9" spans="1:6" x14ac:dyDescent="0.25">
      <c r="A9" s="30">
        <v>0.066547</v>
      </c>
      <c r="B9" s="31">
        <v>46.05998590751541</v>
      </c>
      <c r="C9" s="31">
        <v>48.918936361129745</v>
      </c>
      <c r="D9" s="31">
        <v>52.43029830418303</v>
      </c>
      <c r="E9" s="31">
        <v>56.861841248306526</v>
      </c>
      <c r="F9" s="31">
        <v>62.65109380211761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118343000000</v>
      </c>
      <c r="C5" s="18">
        <v>115111000000</v>
      </c>
      <c r="D5" s="18">
        <v>111308000000</v>
      </c>
      <c r="E5" s="18">
        <v>113608000000</v>
      </c>
      <c r="F5" s="8" t="s">
        <v>85</v>
      </c>
    </row>
    <row r="6" spans="1:6" x14ac:dyDescent="0.25">
      <c r="A6" t="s">
        <v>44</v>
      </c>
      <c r="B6" s="18">
        <v>25612000000</v>
      </c>
      <c r="C6" s="18">
        <v>24208000000</v>
      </c>
      <c r="D6" s="18">
        <v>21166000000</v>
      </c>
      <c r="E6" s="18">
        <v>14066000000</v>
      </c>
      <c r="F6" s="8" t="s">
        <v>86</v>
      </c>
    </row>
    <row r="7" spans="1:6" x14ac:dyDescent="0.25">
      <c r="A7" t="s">
        <v>87</v>
      </c>
      <c r="B7" s="18">
        <v>23938000000</v>
      </c>
      <c r="C7" s="18">
        <v>23907000000</v>
      </c>
      <c r="D7" s="18">
        <v>23975000000</v>
      </c>
      <c r="E7" s="18">
        <v>27827000000</v>
      </c>
      <c r="F7" s="8" t="s">
        <v>88</v>
      </c>
    </row>
    <row r="8" spans="1:6" x14ac:dyDescent="0.25">
      <c r="A8" t="s">
        <v>89</v>
      </c>
      <c r="B8" s="18">
        <v>19256000000</v>
      </c>
      <c r="C8" s="18">
        <v>19171000000</v>
      </c>
      <c r="D8" s="18">
        <v>17866000000</v>
      </c>
      <c r="E8" s="18">
        <v>24114000000</v>
      </c>
      <c r="F8" s="8" t="s">
        <v>90</v>
      </c>
    </row>
    <row r="9" spans="1:6" x14ac:dyDescent="0.25">
      <c r="A9" t="s">
        <v>91</v>
      </c>
      <c r="B9" s="18">
        <v>2263000000</v>
      </c>
      <c r="C9" s="18">
        <v>1714000000</v>
      </c>
      <c r="D9" s="18">
        <v>1000000000</v>
      </c>
      <c r="E9" s="18">
        <v>567000000</v>
      </c>
      <c r="F9" s="8" t="s">
        <v>92</v>
      </c>
    </row>
    <row r="10" spans="1:6" x14ac:dyDescent="0.25">
      <c r="A10" t="s">
        <v>93</v>
      </c>
      <c r="B10" s="18">
        <v>140462000000</v>
      </c>
      <c r="C10" s="18">
        <v>145146000000</v>
      </c>
      <c r="D10" s="18">
        <v>138755000000</v>
      </c>
      <c r="E10" s="18">
        <v>144242000000</v>
      </c>
      <c r="F10" s="8" t="s">
        <v>94</v>
      </c>
    </row>
    <row r="11" spans="1:6" x14ac:dyDescent="0.25">
      <c r="A11" t="s">
        <v>95</v>
      </c>
      <c r="B11" s="18">
        <v>7466000000</v>
      </c>
      <c r="C11" s="18">
        <v>8249000000</v>
      </c>
      <c r="D11" s="18">
        <v>7241000000</v>
      </c>
      <c r="E11" s="18">
        <v>5619000000</v>
      </c>
      <c r="F11" s="8" t="s">
        <v>96</v>
      </c>
    </row>
    <row r="12" spans="1:6" x14ac:dyDescent="0.25">
      <c r="A12" t="s">
        <v>32</v>
      </c>
      <c r="B12" s="34">
        <v>4871000000</v>
      </c>
      <c r="C12" s="34">
        <v>4938000000</v>
      </c>
      <c r="D12" s="34">
        <v>4976000000</v>
      </c>
      <c r="E12" s="34">
        <v>4972000000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2026-09-19T00:09:35Z</dcterms:modified>
</cp:coreProperties>
</file>