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<sst xmlns="http://schemas.openxmlformats.org/spreadsheetml/2006/main" count="120" uniqueCount="107">
  <si>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Duke Energy Corporation (DUK)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</si>
  <si>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</si>
  <si>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</si>
  <si>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</si>
  <si>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</si>
  <si>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</si>
  <si>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</si>
  <si>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</si>
  <si>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</si>
  <si>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</si>
  <si>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</si>
  <si>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</si>
  <si>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</si>
  <si>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</si>
  <si>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</si>
  <si>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</si>
  <si>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</si>
  <si>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</si>
  <si>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</si>
  <si>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</si>
  <si>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</si>
  <si>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</si>
  <si>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</si>
  <si>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</si>
  <si>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2.4x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</si>
  <si>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</si>
  <si>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</si>
  <si>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</si>
  <si>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</si>
  <si>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</si>
  <si>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</si>
  <si>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</si>
  <si>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</si>
  <si>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</si>
  <si>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</si>
  <si>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</si>
  <si>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</si>
  <si>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</si>
  <si>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</si>
  <si>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</si>
  <si>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</si>
  <si>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</si>
  <si>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</si>
  <si>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</si>
  <si>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</si>
  <si>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</si>
  <si>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</si>
  <si>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</si>
  <si>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</si>
  <si>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</si>
  <si>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</si>
  <si>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</si>
  <si>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</si>
  <si>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</si>
  <si>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</si>
  <si>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</si>
  <si>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</si>
  <si>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</si>
  <si>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</si>
  <si>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</si>
  <si>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</si>
  <si>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</si>
  <si>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</si>
  <si>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</si>
  <si>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</si>
  <si>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</si>
  <si>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</si>
  <si>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</si>
  <si>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</si>
  <si>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</si>
  <si>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</si>
  <si>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</si>
  <si>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</si>
  <si>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</si>
  <si>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</si>
  <si>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</si>
  <si>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</si>
  <si>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</si>
  <si>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</si>
  <si>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</si>
  <si>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</si>
  <si>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</si>
  <si>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</si>
  <si>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</si>
  <si>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</si>
  <si>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</si>
  <si>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</si>
  <si>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</si>
  <si>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</si>
  <si>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</si>
  <si>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</si>
  <si>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</si>
  <si>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</si>
  <si>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</si>
  <si>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</si>
  <si>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</si>
  <si>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</si>
  <si>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</si>
  <si>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</si>
  <si>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</si>
  <si>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</si>
  <si>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</si>
  <si>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</si>
  <si>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</si>
  <si>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</si>
  <si>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41.7% of revenue against depreciation of 21.6%.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</si>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</sst>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0.047127755684462036</v>
      </c>
    </row>
    <row r="7" spans="1:2" x14ac:dyDescent="0.25">
      <c r="A7" t="s">
        <v>4</v>
      </c>
      <c r="B7" s="5">
        <v>0.2488195061683658</v>
      </c>
    </row>
    <row r="8" spans="1:2" x14ac:dyDescent="0.25">
      <c r="A8" t="s">
        <v>5</v>
      </c>
      <c r="B8" s="5">
        <v>0.10213832228926814</v>
      </c>
    </row>
    <row r="9" spans="1:2" x14ac:dyDescent="0.25">
      <c r="A9" t="s">
        <v>6</v>
      </c>
      <c r="B9" s="5">
        <v>0.21572450632987455</v>
      </c>
    </row>
    <row r="10" spans="1:3" x14ac:dyDescent="0.25">
      <c r="A10" t="s">
        <v>7</v>
      </c>
      <c r="B10" s="5">
        <v>0.4170993711321376</v>
      </c>
      <c r="C10" s="6" t="s">
        <v>8</v>
      </c>
    </row>
    <row r="11" spans="1:2" x14ac:dyDescent="0.25">
      <c r="A11" t="s">
        <v>9</v>
      </c>
      <c r="B11" s="5">
        <v>0.1168468149167656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11.714401503593145</v>
      </c>
    </row>
    <row r="14" spans="1:3" x14ac:dyDescent="0.25">
      <c r="A14" t="s">
        <v>12</v>
      </c>
      <c r="B14" s="5">
        <v>0.06434955625973512</v>
      </c>
      <c r="C14" s="6" t="s">
        <v>13</v>
      </c>
    </row>
    <row r="15" spans="1:3" x14ac:dyDescent="0.25">
      <c r="A15" t="s">
        <v>14</v>
      </c>
      <c r="B15" s="5">
        <v>0.21572450632987455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0.53636</v>
      </c>
      <c r="C19" s="6" t="s">
        <v>21</v>
      </c>
    </row>
    <row r="20" spans="1:2" x14ac:dyDescent="0.25">
      <c r="A20" t="s">
        <v>22</v>
      </c>
      <c r="B20" s="9">
        <f>B17+B19*B18</f>
        <v>0.071628028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100098170880</v>
      </c>
    </row>
    <row r="23" spans="1:2" x14ac:dyDescent="0.25">
      <c r="A23" t="s">
        <v>26</v>
      </c>
      <c r="B23" s="10">
        <v>90869000000</v>
      </c>
    </row>
    <row r="24" spans="1:2" x14ac:dyDescent="0.25">
      <c r="A24" t="s">
        <v>27</v>
      </c>
      <c r="B24" s="9">
        <f>B22/(B22+B23)</f>
        <v>0.5241642865563512</v>
      </c>
    </row>
    <row r="25" spans="1:2" x14ac:dyDescent="0.25">
      <c r="A25" t="s">
        <v>28</v>
      </c>
      <c r="B25" s="9">
        <f>1-B24</f>
        <v>0.47583571344364883</v>
      </c>
    </row>
    <row r="26" spans="1:2" x14ac:dyDescent="0.25">
      <c r="A26" t="s">
        <v>29</v>
      </c>
      <c r="B26" s="11">
        <f>B24*B20+B25*B21*(1-B8)</f>
        <v>0.06434955625973512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32237000000</v>
      </c>
      <c r="C29" s="6" t="s">
        <v>32</v>
      </c>
    </row>
    <row r="30" spans="1:2" x14ac:dyDescent="0.25">
      <c r="A30" t="s">
        <v>33</v>
      </c>
      <c r="B30" s="10">
        <v>90624000000</v>
      </c>
    </row>
    <row r="31" spans="1:2" x14ac:dyDescent="0.25">
      <c r="A31" t="s">
        <v>34</v>
      </c>
      <c r="B31" s="12">
        <v>777000000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0.047127755684462036</v>
      </c>
      <c r="C5" s="5">
        <v>0.04518180878929701</v>
      </c>
      <c r="D5" s="5">
        <v>0.042659082690634884</v>
      </c>
      <c r="E5" s="5">
        <v>0.040136356591972754</v>
      </c>
      <c r="F5" s="5">
        <v>0.03761363049331063</v>
      </c>
      <c r="G5" s="5">
        <v>0.0350909043946485</v>
      </c>
      <c r="H5" s="5">
        <v>0.03256817829598638</v>
      </c>
      <c r="I5" s="5">
        <v>0.030045452197324254</v>
      </c>
      <c r="J5" s="5">
        <v>0.027522726098662128</v>
      </c>
      <c r="K5" s="5">
        <v>0.025</v>
      </c>
    </row>
    <row r="6" spans="1:11" x14ac:dyDescent="0.25">
      <c r="A6" t="s">
        <v>50</v>
      </c>
      <c r="B6" s="18">
        <f>Assumptions!B29*(1+B5)</f>
        <v>33756257460.000004</v>
      </c>
      <c r="C6" s="18">
        <f>B6*(1+C5)</f>
        <v>35281426230.00001</v>
      </c>
      <c r="D6" s="18">
        <f>C6*(1+D5)</f>
        <v>36786499508.98911</v>
      </c>
      <c r="E6" s="18">
        <f>D6*(1+E5)</f>
        <v>38262975571.05233</v>
      </c>
      <c r="F6" s="18">
        <f>E6*(1+F5)</f>
        <v>39702184995.75646</v>
      </c>
      <c r="G6" s="18">
        <f>F6*(1+G5)</f>
        <v>41095370573.7012</v>
      </c>
      <c r="H6" s="18">
        <f>G6*(1+H5)</f>
        <v>42433771929.685135</v>
      </c>
      <c r="I6" s="18">
        <f>H6*(1+I5)</f>
        <v>43708713795.750656</v>
      </c>
      <c r="J6" s="18">
        <f>I6*(1+J5)</f>
        <v>44911696753.67592</v>
      </c>
      <c r="K6" s="18">
        <f>J6*(1+K5)</f>
        <v>46034489172.517815</v>
      </c>
    </row>
    <row r="7" spans="1:11" x14ac:dyDescent="0.25">
      <c r="A7" t="s">
        <v>4</v>
      </c>
      <c r="B7" s="9">
        <f>Assumptions!B7</f>
        <v>0.2488195061683658</v>
      </c>
      <c r="C7" s="9">
        <f>Assumptions!B7</f>
        <v>0.2488195061683658</v>
      </c>
      <c r="D7" s="9">
        <f>Assumptions!B7</f>
        <v>0.2488195061683658</v>
      </c>
      <c r="E7" s="9">
        <f>Assumptions!B7</f>
        <v>0.2488195061683658</v>
      </c>
      <c r="F7" s="9">
        <f>Assumptions!B7</f>
        <v>0.2488195061683658</v>
      </c>
      <c r="G7" s="9">
        <f>Assumptions!B7</f>
        <v>0.2488195061683658</v>
      </c>
      <c r="H7" s="9">
        <f>Assumptions!B7</f>
        <v>0.2488195061683658</v>
      </c>
      <c r="I7" s="9">
        <f>Assumptions!B7</f>
        <v>0.2488195061683658</v>
      </c>
      <c r="J7" s="9">
        <f>Assumptions!B7</f>
        <v>0.2488195061683658</v>
      </c>
      <c r="K7" s="9">
        <f>Assumptions!B7</f>
        <v>0.2488195061683658</v>
      </c>
    </row>
    <row r="8" spans="1:11" x14ac:dyDescent="0.25">
      <c r="A8" t="s">
        <v>51</v>
      </c>
      <c r="B8" s="18">
        <f>B6*B7</f>
        <v>8399215311.289414</v>
      </c>
      <c r="C8" s="18">
        <f>C6*C7</f>
        <v>8778707051.46423</v>
      </c>
      <c r="D8" s="18">
        <f>D6*D7</f>
        <v>9153198641.489502</v>
      </c>
      <c r="E8" s="18">
        <f>E6*E7</f>
        <v>9520574686.121485</v>
      </c>
      <c r="F8" s="18">
        <f>F6*F7</f>
        <v>9878678064.449224</v>
      </c>
      <c r="G8" s="18">
        <f>G6*G7</f>
        <v>10225329811.954325</v>
      </c>
      <c r="H8" s="18">
        <f>H6*H7</f>
        <v>10558350176.405317</v>
      </c>
      <c r="I8" s="18">
        <f>I6*I7</f>
        <v>10875580581.913115</v>
      </c>
      <c r="J8" s="18">
        <f>J6*J7</f>
        <v>11174906207.433039</v>
      </c>
      <c r="K8" s="18">
        <f>K6*K7</f>
        <v>11454278862.618864</v>
      </c>
    </row>
    <row r="9" spans="1:11" x14ac:dyDescent="0.25">
      <c r="A9" t="s">
        <v>52</v>
      </c>
      <c r="B9" s="18">
        <f>B8*(1-Assumptions!B8)</f>
        <v>7541333550.8479805</v>
      </c>
      <c r="C9" s="18">
        <f>C8*(1-Assumptions!B8)</f>
        <v>7882064641.3587055</v>
      </c>
      <c r="D9" s="18">
        <f>D8*(1-Assumptions!B8)</f>
        <v>8218306288.6673565</v>
      </c>
      <c r="E9" s="18">
        <f>E8*(1-Assumptions!B8)</f>
        <v>8548159160.451361</v>
      </c>
      <c r="F9" s="18">
        <f>F8*(1-Assumptions!B8)</f>
        <v>8869686460.510586</v>
      </c>
      <c r="G9" s="18">
        <f>G8*(1-Assumptions!B8)</f>
        <v>9180931780.106873</v>
      </c>
      <c r="H9" s="18">
        <f>H8*(1-Assumptions!B8)</f>
        <v>9479938003.24468</v>
      </c>
      <c r="I9" s="18">
        <f>I8*(1-Assumptions!B8)</f>
        <v>9764767027.354767</v>
      </c>
      <c r="J9" s="18">
        <f>J8*(1-Assumptions!B8)</f>
        <v>10033520035.6659</v>
      </c>
      <c r="K9" s="18">
        <f>K8*(1-Assumptions!B8)</f>
        <v>10284358036.557547</v>
      </c>
    </row>
    <row r="10" spans="1:11" x14ac:dyDescent="0.25">
      <c r="A10" t="s">
        <v>53</v>
      </c>
      <c r="B10" s="18">
        <f>B6*Assumptions!B9</f>
        <v>7282051976.102646</v>
      </c>
      <c r="C10" s="18">
        <f>C6*Assumptions!B9</f>
        <v>7611068256.080639</v>
      </c>
      <c r="D10" s="18">
        <f>D6*Assumptions!B9</f>
        <v>7935749446.180849</v>
      </c>
      <c r="E10" s="18">
        <f>E6*Assumptions!B9</f>
        <v>8254261515.777314</v>
      </c>
      <c r="F10" s="18">
        <f>F6*Assumptions!B9</f>
        <v>8564734258.426915</v>
      </c>
      <c r="G10" s="18">
        <f>G6*Assumptions!B9</f>
        <v>8865278529.454945</v>
      </c>
      <c r="H10" s="18">
        <f>H6*Assumptions!B9</f>
        <v>9154004501.245813</v>
      </c>
      <c r="I10" s="18">
        <f>I6*Assumptions!B9</f>
        <v>9429040705.902088</v>
      </c>
      <c r="J10" s="18">
        <f>J6*Assumptions!B9</f>
        <v>9688553610.623768</v>
      </c>
      <c r="K10" s="18">
        <f>K6*Assumptions!B9</f>
        <v>9930767450.88936</v>
      </c>
    </row>
    <row r="11" spans="1:11" x14ac:dyDescent="0.25">
      <c r="A11" t="s">
        <v>54</v>
      </c>
      <c r="B11" s="18">
        <f>-B6*B19</f>
        <v>-14079713758.340528</v>
      </c>
      <c r="C11" s="18">
        <f>-C6*C19</f>
        <v>-14266684454.77851</v>
      </c>
      <c r="D11" s="18">
        <f>-D6*D19</f>
        <v>-14406950441.960157</v>
      </c>
      <c r="E11" s="18">
        <f>-E6*E19</f>
        <v>-14498057889.287188</v>
      </c>
      <c r="F11" s="18">
        <f>-F6*F19</f>
        <v>-14537924510.70668</v>
      </c>
      <c r="G11" s="18">
        <f>-G6*G19</f>
        <v>-14524878481.577404</v>
      </c>
      <c r="H11" s="18">
        <f>-H6*H19</f>
        <v>-14457692859.104298</v>
      </c>
      <c r="I11" s="18">
        <f>-I6*I19</f>
        <v>-14335614735.716768</v>
      </c>
      <c r="J11" s="18">
        <f>-J6*J19</f>
        <v>-14158388427.9879</v>
      </c>
      <c r="K11" s="18">
        <f>-K6*K19</f>
        <v>-13926272095.492748</v>
      </c>
    </row>
    <row r="12" spans="1:11" x14ac:dyDescent="0.25">
      <c r="A12" t="s">
        <v>55</v>
      </c>
      <c r="B12" s="18">
        <f>-(B6-Assumptions!B29)*Assumptions!B11</f>
        <v>-177520395.23953587</v>
      </c>
      <c r="C12" s="18">
        <f>-(C6-B6)*Assumptions!B11</f>
        <v>-178211112.9850215</v>
      </c>
      <c r="D12" s="18">
        <f>-(D6-C6)*Assumptions!B11</f>
        <v>-175863018.8662095</v>
      </c>
      <c r="E12" s="18">
        <f>-(E6-D6)*Assumptions!B11</f>
        <v>-172521525.15293565</v>
      </c>
      <c r="F12" s="18">
        <f>-(F6-E6)*Assumptions!B11</f>
        <v>-168167037.27486843</v>
      </c>
      <c r="G12" s="18">
        <f>-(G6-F6)*Assumptions!B11</f>
        <v>-162789297.37081617</v>
      </c>
      <c r="H12" s="18">
        <f>-(H6-G6)*Assumptions!B11</f>
        <v>-156387935.52700266</v>
      </c>
      <c r="I12" s="18">
        <f>-(I6-H6)*Assumptions!B11</f>
        <v>-148972896.25379372</v>
      </c>
      <c r="J12" s="18">
        <f>-(J6-I6)*Assumptions!B11</f>
        <v>-140564727.03271636</v>
      </c>
      <c r="K12" s="18">
        <f>-(K6-J6)*Assumptions!B11</f>
        <v>-131194717.9543666</v>
      </c>
    </row>
    <row r="13" spans="1:11" x14ac:dyDescent="0.25">
      <c r="A13" s="19" t="s">
        <v>56</v>
      </c>
      <c r="B13" s="20">
        <f>B9+B10+B11+B12</f>
        <v>566151373.3705621</v>
      </c>
      <c r="C13" s="20">
        <f>C9+C10+C11+C12</f>
        <v>1048237329.6758138</v>
      </c>
      <c r="D13" s="20">
        <f>D9+D10+D11+D12</f>
        <v>1571242274.0218387</v>
      </c>
      <c r="E13" s="20">
        <f>E9+E10+E11+E12</f>
        <v>2131841261.7885525</v>
      </c>
      <c r="F13" s="20">
        <f>F9+F10+F11+F12</f>
        <v>2728329170.955951</v>
      </c>
      <c r="G13" s="20">
        <f>G9+G10+G11+G12</f>
        <v>3358542530.613597</v>
      </c>
      <c r="H13" s="20">
        <f>H9+H10+H11+H12</f>
        <v>4019861709.8591933</v>
      </c>
      <c r="I13" s="20">
        <f>I9+I10+I11+I12</f>
        <v>4709220101.286293</v>
      </c>
      <c r="J13" s="20">
        <f>J9+J10+J11+J12</f>
        <v>5423120491.269049</v>
      </c>
      <c r="K13" s="20">
        <f>K9+K10+K11+K12</f>
        <v>6157658673.999792</v>
      </c>
    </row>
    <row r="14" spans="1:11" x14ac:dyDescent="0.25">
      <c r="A14" t="s">
        <v>57</v>
      </c>
      <c r="B14" s="21">
        <f>1/(1+Assumptions!$B$26)^(1-0.5*Assumptions!$B$32)</f>
        <v>0.9692992088977267</v>
      </c>
      <c r="C14" s="21">
        <f>1/(1+Assumptions!$B$26)^(2-0.5*Assumptions!$B$32)</f>
        <v>0.9106963057362208</v>
      </c>
      <c r="D14" s="21">
        <f>1/(1+Assumptions!$B$26)^(3-0.5*Assumptions!$B$32)</f>
        <v>0.8556364780538152</v>
      </c>
      <c r="E14" s="21">
        <f>1/(1+Assumptions!$B$26)^(4-0.5*Assumptions!$B$32)</f>
        <v>0.8039055148955337</v>
      </c>
      <c r="F14" s="21">
        <f>1/(1+Assumptions!$B$26)^(5-0.5*Assumptions!$B$32)</f>
        <v>0.7553021562958732</v>
      </c>
      <c r="G14" s="21">
        <f>1/(1+Assumptions!$B$26)^(6-0.5*Assumptions!$B$32)</f>
        <v>0.7096373102743657</v>
      </c>
      <c r="H14" s="21">
        <f>1/(1+Assumptions!$B$26)^(7-0.5*Assumptions!$B$32)</f>
        <v>0.6667333171708408</v>
      </c>
      <c r="I14" s="21">
        <f>1/(1+Assumptions!$B$26)^(8-0.5*Assumptions!$B$32)</f>
        <v>0.6264232584582735</v>
      </c>
      <c r="J14" s="21">
        <f>1/(1+Assumptions!$B$26)^(9-0.5*Assumptions!$B$32)</f>
        <v>0.5885503073441469</v>
      </c>
      <c r="K14" s="21">
        <f>1/(1+Assumptions!$B$26)^(10-0.5*Assumptions!$B$32)</f>
        <v>0.5529671186338353</v>
      </c>
    </row>
    <row r="15" spans="1:11" x14ac:dyDescent="0.25">
      <c r="A15" s="19" t="s">
        <v>58</v>
      </c>
      <c r="B15" s="20">
        <f>B13*B14</f>
        <v>548770078.3244473</v>
      </c>
      <c r="C15" s="20">
        <f>C13*C14</f>
        <v>954625863.6705647</v>
      </c>
      <c r="D15" s="20">
        <f>D13*D14</f>
        <v>1344412205.5133135</v>
      </c>
      <c r="E15" s="20">
        <f>E13*E14</f>
        <v>1713798947.2336707</v>
      </c>
      <c r="F15" s="20">
        <f>F13*F14</f>
        <v>2060712905.9079618</v>
      </c>
      <c r="G15" s="20">
        <f>G13*G14</f>
        <v>2383347087.8666945</v>
      </c>
      <c r="H15" s="20">
        <f>H13*H14</f>
        <v>2680175732.382468</v>
      </c>
      <c r="I15" s="20">
        <f>I13*I14</f>
        <v>2949965000.6449604</v>
      </c>
      <c r="J15" s="20">
        <f>J13*J14</f>
        <v>3191779231.9007397</v>
      </c>
      <c r="K15" s="20">
        <f>K13*K14</f>
        <v>3404982774.492308</v>
      </c>
    </row>
    <row r="17" spans="1:2" x14ac:dyDescent="0.25">
      <c r="A17" s="22" t="s">
        <v>59</v>
      </c>
      <c r="B17" s="23">
        <f>SUM(B15:K15)</f>
        <v>21232569827.93713</v>
      </c>
    </row>
    <row r="19" spans="1:11" x14ac:dyDescent="0.25">
      <c r="A19" t="s">
        <v>7</v>
      </c>
      <c r="B19" s="9">
        <f>Assumptions!$B$10+($B$20-Assumptions!$B$10)*0/9</f>
        <v>0.4170993711321376</v>
      </c>
      <c r="C19" s="9">
        <f>Assumptions!$B$10+($B$20-Assumptions!$B$10)*1/9</f>
        <v>0.4043681330163309</v>
      </c>
      <c r="D19" s="9">
        <f>Assumptions!$B$10+($B$20-Assumptions!$B$10)*2/9</f>
        <v>0.3916368949005243</v>
      </c>
      <c r="E19" s="9">
        <f>Assumptions!$B$10+($B$20-Assumptions!$B$10)*3/9</f>
        <v>0.3789056567847176</v>
      </c>
      <c r="F19" s="9">
        <f>Assumptions!$B$10+($B$20-Assumptions!$B$10)*4/9</f>
        <v>0.36617441866891093</v>
      </c>
      <c r="G19" s="9">
        <f>Assumptions!$B$10+($B$20-Assumptions!$B$10)*5/9</f>
        <v>0.3534431805531043</v>
      </c>
      <c r="H19" s="9">
        <f>Assumptions!$B$10+($B$20-Assumptions!$B$10)*6/9</f>
        <v>0.34071194243729763</v>
      </c>
      <c r="I19" s="9">
        <f>Assumptions!$B$10+($B$20-Assumptions!$B$10)*7/9</f>
        <v>0.32798070432149096</v>
      </c>
      <c r="J19" s="9">
        <f>Assumptions!$B$10+($B$20-Assumptions!$B$10)*8/9</f>
        <v>0.31524946620568434</v>
      </c>
      <c r="K19" s="9">
        <f>Assumptions!$B$10+($B$20-Assumptions!$B$10)*9/9</f>
        <v>0.30251822808987766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0.30251822808987766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6157658673.999792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10284358036.557547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0.388503067512884</v>
      </c>
    </row>
    <row r="7" spans="1:2" x14ac:dyDescent="0.25">
      <c r="A7" t="s">
        <v>66</v>
      </c>
      <c r="B7" s="18">
        <f>-MAX(B5,0)*B6</f>
        <v>-3995504644.603388</v>
      </c>
    </row>
    <row r="8" spans="1:2" x14ac:dyDescent="0.25">
      <c r="A8" t="s">
        <v>67</v>
      </c>
      <c r="B8" s="18">
        <f>IF(OR(Assumptions!$B$33=0,Assumptions!B12&lt;=0),B5,MAX(B5+B7,0))</f>
        <v>6288853391.954159</v>
      </c>
    </row>
    <row r="9" spans="1:2" x14ac:dyDescent="0.25">
      <c r="A9" t="s">
        <v>68</v>
      </c>
      <c r="B9" s="18">
        <f>B8*(1+Assumptions!B12)/(Assumptions!B26-Assumptions!B12)</f>
        <v>163815690428.73886</v>
      </c>
    </row>
    <row r="10" spans="1:2" x14ac:dyDescent="0.25">
      <c r="A10" t="s">
        <v>69</v>
      </c>
      <c r="B10" s="18">
        <f>B9/(1+Assumptions!B26)^(10-0.5*Assumptions!B32)</f>
        <v>90584690323.39207</v>
      </c>
    </row>
    <row r="11" spans="1:2" x14ac:dyDescent="0.25">
      <c r="A11" t="s">
        <v>70</v>
      </c>
      <c r="B11" s="18">
        <f>Forecast!B17+B10</f>
        <v>111817260151.32921</v>
      </c>
    </row>
    <row r="12" spans="1:2" x14ac:dyDescent="0.25">
      <c r="A12" t="s">
        <v>71</v>
      </c>
      <c r="B12" s="18">
        <f>-Assumptions!B30</f>
        <v>-90624000000</v>
      </c>
    </row>
    <row r="13" spans="1:2" x14ac:dyDescent="0.25">
      <c r="A13" t="s">
        <v>72</v>
      </c>
      <c r="B13" s="18">
        <f>B11+B12</f>
        <v>21193260151.32921</v>
      </c>
    </row>
    <row r="14" spans="1:2" x14ac:dyDescent="0.25">
      <c r="A14" s="19" t="s">
        <v>73</v>
      </c>
      <c r="B14" s="24">
        <f>B13/Assumptions!B31</f>
        <v>27.27575309051378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21385046313.508224</v>
      </c>
    </row>
    <row r="18" spans="1:2" x14ac:dyDescent="0.25">
      <c r="A18" t="s">
        <v>68</v>
      </c>
      <c r="B18" s="18">
        <f>B17*Assumptions!B13</f>
        <v>250513018689.36978</v>
      </c>
    </row>
    <row r="19" spans="1:2" x14ac:dyDescent="0.25">
      <c r="A19" t="s">
        <v>69</v>
      </c>
      <c r="B19" s="18">
        <f>B18/(1+Assumptions!B26)^(10-0.5*Assumptions!B32)</f>
        <v>138525462124.92493</v>
      </c>
    </row>
    <row r="20" spans="1:2" x14ac:dyDescent="0.25">
      <c r="A20" t="s">
        <v>70</v>
      </c>
      <c r="B20" s="18">
        <f>Forecast!B17+B19</f>
        <v>159758031952.86206</v>
      </c>
    </row>
    <row r="21" spans="1:2" x14ac:dyDescent="0.25">
      <c r="A21" t="s">
        <v>71</v>
      </c>
      <c r="B21" s="18">
        <f>-Assumptions!B30</f>
        <v>-90624000000</v>
      </c>
    </row>
    <row r="22" spans="1:2" x14ac:dyDescent="0.25">
      <c r="A22" t="s">
        <v>72</v>
      </c>
      <c r="B22" s="18">
        <f>B20+B21</f>
        <v>69134031952.86206</v>
      </c>
    </row>
    <row r="23" spans="1:2" x14ac:dyDescent="0.25">
      <c r="A23" s="19" t="s">
        <v>73</v>
      </c>
      <c r="B23" s="25">
        <f>B22/Assumptions!B31</f>
        <v>88.97558809892158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128.38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27.27575309051378</v>
      </c>
    </row>
    <row r="29" spans="1:2" x14ac:dyDescent="0.25">
      <c r="A29" s="19" t="s">
        <v>81</v>
      </c>
      <c r="B29" s="11">
        <f>B28/B26-1</f>
        <v>-0.7875389228032887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0.04435</v>
      </c>
      <c r="B5" s="31">
        <v>134.1455991679766</v>
      </c>
      <c r="C5" s="31">
        <v>139.89233765861152</v>
      </c>
      <c r="D5" s="31">
        <v>150.44146083898124</v>
      </c>
      <c r="E5" s="31">
        <v>170.812883018913</v>
      </c>
      <c r="F5" s="31">
        <v>216.76430312818604</v>
      </c>
    </row>
    <row r="6" spans="1:6" x14ac:dyDescent="0.25">
      <c r="A6" s="30">
        <v>0.05435</v>
      </c>
      <c r="B6" s="31">
        <v>66.6741248650524</v>
      </c>
      <c r="C6" s="31">
        <v>63.480880787272255</v>
      </c>
      <c r="D6" s="31">
        <v>60.287636709492055</v>
      </c>
      <c r="E6" s="31">
        <v>57.094392631711884</v>
      </c>
      <c r="F6" s="31">
        <v>53.901148553931726</v>
      </c>
    </row>
    <row r="7" spans="1:6" x14ac:dyDescent="0.25">
      <c r="A7" s="30">
        <v>0.06435</v>
      </c>
      <c r="B7" s="31">
        <v>32.36816123234183</v>
      </c>
      <c r="C7" s="31">
        <v>29.821342500066415</v>
      </c>
      <c r="D7" s="32">
        <v>27.27452376779098</v>
      </c>
      <c r="E7" s="31">
        <v>24.727705035515548</v>
      </c>
      <c r="F7" s="31">
        <v>22.180886303240133</v>
      </c>
    </row>
    <row r="8" spans="1:6" x14ac:dyDescent="0.25">
      <c r="A8" s="30">
        <v>0.07435</v>
      </c>
      <c r="B8" s="31">
        <v>7.611028697260932</v>
      </c>
      <c r="C8" s="31">
        <v>5.527662378060064</v>
      </c>
      <c r="D8" s="31">
        <v>3.4442960588591784</v>
      </c>
      <c r="E8" s="31">
        <v>1.3609297396582722</v>
      </c>
      <c r="F8" s="31">
        <v>-0.7224365795426142</v>
      </c>
    </row>
    <row r="9" spans="1:6" x14ac:dyDescent="0.25">
      <c r="A9" s="30">
        <v>0.08435</v>
      </c>
      <c r="B9" s="31">
        <v>-11.015279341613672</v>
      </c>
      <c r="C9" s="31">
        <v>-12.7524380879061</v>
      </c>
      <c r="D9" s="31">
        <v>-14.489596834198567</v>
      </c>
      <c r="E9" s="31">
        <v>-16.226755580491034</v>
      </c>
      <c r="F9" s="31">
        <v>-17.963914326783485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32237000000</v>
      </c>
      <c r="C5" s="18">
        <v>30357000000</v>
      </c>
      <c r="D5" s="18">
        <v>29060000000</v>
      </c>
      <c r="E5" s="18">
        <v>28768000000</v>
      </c>
      <c r="F5" s="6" t="s">
        <v>91</v>
      </c>
    </row>
    <row r="6" spans="1:6" x14ac:dyDescent="0.25">
      <c r="A6" t="s">
        <v>51</v>
      </c>
      <c r="B6" s="18">
        <v>8577000000</v>
      </c>
      <c r="C6" s="18">
        <v>7938000000</v>
      </c>
      <c r="D6" s="18">
        <v>7103000000</v>
      </c>
      <c r="E6" s="18">
        <v>6424000000</v>
      </c>
      <c r="F6" s="6" t="s">
        <v>92</v>
      </c>
    </row>
    <row r="7" spans="1:6" x14ac:dyDescent="0.25">
      <c r="A7" t="s">
        <v>93</v>
      </c>
      <c r="B7" s="18">
        <v>7704000000</v>
      </c>
      <c r="C7" s="18">
        <v>6419000000</v>
      </c>
      <c r="D7" s="18">
        <v>6084000000</v>
      </c>
      <c r="E7" s="18">
        <v>5843000000</v>
      </c>
      <c r="F7" s="6" t="s">
        <v>94</v>
      </c>
    </row>
    <row r="8" spans="1:6" x14ac:dyDescent="0.25">
      <c r="A8" t="s">
        <v>95</v>
      </c>
      <c r="B8" s="18">
        <v>14024000000</v>
      </c>
      <c r="C8" s="18">
        <v>12280000000</v>
      </c>
      <c r="D8" s="18">
        <v>12604000000</v>
      </c>
      <c r="E8" s="18">
        <v>11367000000</v>
      </c>
      <c r="F8" s="6" t="s">
        <v>96</v>
      </c>
    </row>
    <row r="9" spans="1:6" x14ac:dyDescent="0.25">
      <c r="A9" t="s">
        <v>97</v>
      </c>
      <c r="B9" s="18">
        <v>616000000</v>
      </c>
      <c r="C9" s="18">
        <v>-1151000000</v>
      </c>
      <c r="D9" s="18">
        <v>-187000000</v>
      </c>
      <c r="E9" s="18">
        <v>3248000000</v>
      </c>
      <c r="F9" s="6" t="s">
        <v>98</v>
      </c>
    </row>
    <row r="10" spans="1:6" x14ac:dyDescent="0.25">
      <c r="A10" t="s">
        <v>99</v>
      </c>
      <c r="B10" s="18">
        <v>90869000000</v>
      </c>
      <c r="C10" s="18">
        <v>85230000000</v>
      </c>
      <c r="D10" s="18">
        <v>80457000000</v>
      </c>
      <c r="E10" s="18">
        <v>74579000000</v>
      </c>
      <c r="F10" s="6" t="s">
        <v>100</v>
      </c>
    </row>
    <row r="11" spans="1:6" x14ac:dyDescent="0.25">
      <c r="A11" t="s">
        <v>101</v>
      </c>
      <c r="B11" s="18">
        <v>245000000</v>
      </c>
      <c r="C11" s="18">
        <v>314000000</v>
      </c>
      <c r="D11" s="18">
        <v>253000000</v>
      </c>
      <c r="E11" s="18">
        <v>409000000</v>
      </c>
      <c r="F11" s="6" t="s">
        <v>102</v>
      </c>
    </row>
    <row r="12" spans="1:6" x14ac:dyDescent="0.25">
      <c r="A12" t="s">
        <v>34</v>
      </c>
      <c r="B12" s="34">
        <v>777000000</v>
      </c>
      <c r="C12" s="34">
        <v>772000000</v>
      </c>
      <c r="D12" s="34">
        <v>771000000</v>
      </c>
      <c r="E12" s="34">
        <v>770000000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