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<sst xmlns="http://schemas.openxmlformats.org/spreadsheetml/2006/main" count="112" uniqueCount="100">
  <si>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Duke Energy Corporation (DUK)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</si>
  <si>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</si>
  <si>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</si>
  <si>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</si>
  <si>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</si>
  <si>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</si>
  <si>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</si>
  <si>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</si>
  <si>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</si>
  <si>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</si>
  <si>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</si>
  <si>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</si>
  <si>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</si>
  <si>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</si>
  <si>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</si>
  <si>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</si>
  <si>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</si>
  <si>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</si>
  <si>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</si>
  <si>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</si>
  <si>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</si>
  <si>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</si>
  <si>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</si>
  <si>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</si>
  <si>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</si>
  <si>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</si>
  <si>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</si>
  <si>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</si>
  <si>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</si>
  <si>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</si>
  <si>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</si>
  <si>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</si>
  <si>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</si>
  <si>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</si>
  <si>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</si>
  <si>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</si>
  <si>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</si>
  <si>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</si>
  <si>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</si>
  <si>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</si>
  <si>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</si>
  <si>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</si>
  <si>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</si>
  <si>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</si>
  <si>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</si>
  <si>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</si>
  <si>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</si>
  <si>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</si>
  <si>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</si>
  <si>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</si>
  <si>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</si>
  <si>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</si>
  <si>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</si>
  <si>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</si>
  <si>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</si>
  <si>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</si>
  <si>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</si>
  <si>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</si>
  <si>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</si>
  <si>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</si>
  <si>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</si>
  <si>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</si>
  <si>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</si>
  <si>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</si>
  <si>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</si>
  <si>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</si>
  <si>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</si>
  <si>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</si>
  <si>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</si>
  <si>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</si>
  <si>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</si>
  <si>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</si>
  <si>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</si>
  <si>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</si>
  <si>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</si>
  <si>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</si>
  <si>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</si>
  <si>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</si>
  <si>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</si>
  <si>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</si>
  <si>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</si>
  <si>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</si>
  <si>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</si>
  <si>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</si>
  <si>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</si>
  <si>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</si>
  <si>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</si>
  <si>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</si>
  <si>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</si>
  <si>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</si>
  <si>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</si>
  <si>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</si>
  <si>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</si>
  <si>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</si>
  <si>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</si>
  <si>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</si>
  <si>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</si>
  <si>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</si>
  <si>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41.7% of revenue against depreciation of 21.6%.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</si>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</sst>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0.03867971409471327</v>
      </c>
    </row>
    <row r="7" spans="1:2" x14ac:dyDescent="0.25">
      <c r="A7" t="s">
        <v>5</v>
      </c>
      <c r="B7" s="6">
        <v>0.2488195061683658</v>
      </c>
    </row>
    <row r="8" spans="1:2" x14ac:dyDescent="0.25">
      <c r="A8" t="s">
        <v>6</v>
      </c>
      <c r="B8" s="6">
        <v>0.10213832228926814</v>
      </c>
    </row>
    <row r="9" spans="1:2" x14ac:dyDescent="0.25">
      <c r="A9" t="s">
        <v>7</v>
      </c>
      <c r="B9" s="6">
        <v>0.21572450632987455</v>
      </c>
    </row>
    <row r="10" spans="1:2" x14ac:dyDescent="0.25">
      <c r="A10" t="s">
        <v>8</v>
      </c>
      <c r="B10" s="6">
        <v>0.4170993711321376</v>
      </c>
    </row>
    <row r="11" spans="1:2" x14ac:dyDescent="0.25">
      <c r="A11" t="s">
        <v>9</v>
      </c>
      <c r="B11" s="6">
        <v>-0.6404109589041096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11.19479141182974</v>
      </c>
    </row>
    <row r="14" spans="1:3" x14ac:dyDescent="0.25">
      <c r="A14" t="s">
        <v>12</v>
      </c>
      <c r="B14" s="6">
        <v>0.06328655480053948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0.57388</v>
      </c>
      <c r="C19" s="8" t="s">
        <v>19</v>
      </c>
    </row>
    <row r="20" spans="1:2" x14ac:dyDescent="0.25">
      <c r="A20" t="s">
        <v>20</v>
      </c>
      <c r="B20" s="10">
        <f>B17+B19*B18</f>
        <v>0.0815434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91638398976</v>
      </c>
    </row>
    <row r="23" spans="1:2" x14ac:dyDescent="0.25">
      <c r="A23" t="s">
        <v>24</v>
      </c>
      <c r="B23" s="11">
        <v>90869000000</v>
      </c>
    </row>
    <row r="24" spans="1:2" x14ac:dyDescent="0.25">
      <c r="A24" t="s">
        <v>25</v>
      </c>
      <c r="B24" s="10">
        <f>B22/(B22+B23)</f>
        <v>0.5021078569425593</v>
      </c>
    </row>
    <row r="25" spans="1:2" x14ac:dyDescent="0.25">
      <c r="A25" t="s">
        <v>26</v>
      </c>
      <c r="B25" s="10">
        <f>1-B24</f>
        <v>0.4978921430574407</v>
      </c>
    </row>
    <row r="26" spans="1:2" x14ac:dyDescent="0.25">
      <c r="A26" t="s">
        <v>27</v>
      </c>
      <c r="B26" s="12">
        <f>B24*B20+B25*B21*(1-B8)</f>
        <v>0.06328655480053948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32237000000</v>
      </c>
      <c r="C29" s="8" t="s">
        <v>30</v>
      </c>
    </row>
    <row r="30" spans="1:2" x14ac:dyDescent="0.25">
      <c r="A30" t="s">
        <v>31</v>
      </c>
      <c r="B30" s="11">
        <v>90624000000</v>
      </c>
    </row>
    <row r="31" spans="1:2" x14ac:dyDescent="0.25">
      <c r="A31" t="s">
        <v>32</v>
      </c>
      <c r="B31" s="13">
        <v>777000000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0.03867971409471327</v>
      </c>
      <c r="C5" s="10">
        <f>Assumptions!B6</f>
        <v>0.03867971409471327</v>
      </c>
      <c r="D5" s="10">
        <f>Assumptions!B6</f>
        <v>0.03867971409471327</v>
      </c>
      <c r="E5" s="10">
        <f>Assumptions!B6</f>
        <v>0.03867971409471327</v>
      </c>
      <c r="F5" s="10">
        <f>Assumptions!B6</f>
        <v>0.03867971409471327</v>
      </c>
    </row>
    <row r="6" spans="1:6" x14ac:dyDescent="0.25">
      <c r="A6" t="s">
        <v>43</v>
      </c>
      <c r="B6" s="18">
        <f>Assumptions!B29*(1+B5)</f>
        <v>33483917943.27127</v>
      </c>
      <c r="C6" s="18">
        <f>B6*(1+C5)</f>
        <v>34779066316.087845</v>
      </c>
      <c r="D6" s="18">
        <f>C6*(1+D5)</f>
        <v>36124310657.67519</v>
      </c>
      <c r="E6" s="18">
        <f>D6*(1+E5)</f>
        <v>37521588665.78268</v>
      </c>
      <c r="F6" s="18">
        <f>E6*(1+F5)</f>
        <v>38972912987.754585</v>
      </c>
    </row>
    <row r="7" spans="1:6" x14ac:dyDescent="0.25">
      <c r="A7" t="s">
        <v>5</v>
      </c>
      <c r="B7" s="10">
        <f>Assumptions!B7</f>
        <v>0.2488195061683658</v>
      </c>
      <c r="C7" s="10">
        <f>Assumptions!B7</f>
        <v>0.2488195061683658</v>
      </c>
      <c r="D7" s="10">
        <f>Assumptions!B7</f>
        <v>0.2488195061683658</v>
      </c>
      <c r="E7" s="10">
        <f>Assumptions!B7</f>
        <v>0.2488195061683658</v>
      </c>
      <c r="F7" s="10">
        <f>Assumptions!B7</f>
        <v>0.2488195061683658</v>
      </c>
    </row>
    <row r="8" spans="1:6" x14ac:dyDescent="0.25">
      <c r="A8" t="s">
        <v>44</v>
      </c>
      <c r="B8" s="18">
        <f>B6*B7</f>
        <v>8331451927.22684</v>
      </c>
      <c r="C8" s="18">
        <f>C6*C7</f>
        <v>8653710105.765821</v>
      </c>
      <c r="D8" s="18">
        <f>D6*D7</f>
        <v>8988433138.515375</v>
      </c>
      <c r="E8" s="18">
        <f>E6*E7</f>
        <v>9336103162.472597</v>
      </c>
      <c r="F8" s="18">
        <f>F6*F7</f>
        <v>9697220963.555786</v>
      </c>
    </row>
    <row r="9" spans="1:6" x14ac:dyDescent="0.25">
      <c r="A9" t="s">
        <v>45</v>
      </c>
      <c r="B9" s="18">
        <f>B8*(1-Assumptions!B8)</f>
        <v>7480491405.146201</v>
      </c>
      <c r="C9" s="18">
        <f>C8*(1-Assumptions!B8)</f>
        <v>7769834673.985215</v>
      </c>
      <c r="D9" s="18">
        <f>D8*(1-Assumptions!B8)</f>
        <v>8070369657.738154</v>
      </c>
      <c r="E9" s="18">
        <f>E8*(1-Assumptions!B8)</f>
        <v>8382529248.738115</v>
      </c>
      <c r="F9" s="18">
        <f>F8*(1-Assumptions!B8)</f>
        <v>8706763083.469877</v>
      </c>
    </row>
    <row r="10" spans="1:6" x14ac:dyDescent="0.25">
      <c r="A10" t="s">
        <v>46</v>
      </c>
      <c r="B10" s="18">
        <f>B6*Assumptions!B9</f>
        <v>7223301668.302223</v>
      </c>
      <c r="C10" s="18">
        <f>C6*Assumptions!B9</f>
        <v>7502696911.6520195</v>
      </c>
      <c r="D10" s="18">
        <f>D6*Assumptions!B9</f>
        <v>7792899083.134007</v>
      </c>
      <c r="E10" s="18">
        <f>E6*Assumptions!B9</f>
        <v>8094326191.638584</v>
      </c>
      <c r="F10" s="18">
        <f>F6*Assumptions!B9</f>
        <v>8407412414.5205145</v>
      </c>
    </row>
    <row r="11" spans="1:6" x14ac:dyDescent="0.25">
      <c r="A11" t="s">
        <v>47</v>
      </c>
      <c r="B11" s="18">
        <f>-B6*Assumptions!B10</f>
        <v>-13966121117.178545</v>
      </c>
      <c r="C11" s="18">
        <f>-C6*Assumptions!B10</f>
        <v>-14506326689.003149</v>
      </c>
      <c r="D11" s="18">
        <f>-D6*Assumptions!B10</f>
        <v>-15067427257.898298</v>
      </c>
      <c r="E11" s="18">
        <f>-E6*Assumptions!B10</f>
        <v>-15650231036.376696</v>
      </c>
      <c r="F11" s="18">
        <f>-F6*Assumptions!B10</f>
        <v>-16255577498.379955</v>
      </c>
    </row>
    <row r="12" spans="1:6" x14ac:dyDescent="0.25">
      <c r="A12" t="s">
        <v>48</v>
      </c>
      <c r="B12" s="18">
        <f>-(B6-Assumptions!B29)*Assumptions!B11</f>
        <v>798539915.7250947</v>
      </c>
      <c r="C12" s="18">
        <f>-(C6-B6)*Assumptions!B11</f>
        <v>829427211.3585595</v>
      </c>
      <c r="D12" s="18">
        <f>-(D6-C6)*Assumptions!B11</f>
        <v>861509218.7562817</v>
      </c>
      <c r="E12" s="18">
        <f>-(E6-D6)*Assumptions!B11</f>
        <v>894832149.0277374</v>
      </c>
      <c r="F12" s="18">
        <f>-(F6-E6)*Assumptions!B11</f>
        <v>929444000.7148867</v>
      </c>
    </row>
    <row r="13" spans="1:6" x14ac:dyDescent="0.25">
      <c r="A13" s="19" t="s">
        <v>49</v>
      </c>
      <c r="B13" s="20">
        <f>B9+B10+B11+B12</f>
        <v>1536211871.994975</v>
      </c>
      <c r="C13" s="20">
        <f>C9+C10+C11+C12</f>
        <v>1595632107.9926443</v>
      </c>
      <c r="D13" s="20">
        <f>D9+D10+D11+D12</f>
        <v>1657350701.7301455</v>
      </c>
      <c r="E13" s="20">
        <f>E9+E10+E11+E12</f>
        <v>1721456553.0277412</v>
      </c>
      <c r="F13" s="20">
        <f>F9+F10+F11+F12</f>
        <v>1788042000.3253222</v>
      </c>
    </row>
    <row r="14" spans="1:6" x14ac:dyDescent="0.25">
      <c r="A14" t="s">
        <v>50</v>
      </c>
      <c r="B14" s="21">
        <f>1/(1+Assumptions!$B$26)^(1-0.5*Assumptions!$B$32)</f>
        <v>0.9697836075176941</v>
      </c>
      <c r="C14" s="21">
        <f>1/(1+Assumptions!$B$26)^(2-0.5*Assumptions!$B$32)</f>
        <v>0.9120623251928682</v>
      </c>
      <c r="D14" s="21">
        <f>1/(1+Assumptions!$B$26)^(3-0.5*Assumptions!$B$32)</f>
        <v>0.8577765994266342</v>
      </c>
      <c r="E14" s="21">
        <f>1/(1+Assumptions!$B$26)^(4-0.5*Assumptions!$B$32)</f>
        <v>0.8067219467357446</v>
      </c>
      <c r="F14" s="21">
        <f>1/(1+Assumptions!$B$26)^(5-0.5*Assumptions!$B$32)</f>
        <v>0.7587060544436928</v>
      </c>
    </row>
    <row r="15" spans="1:6" x14ac:dyDescent="0.25">
      <c r="A15" s="19" t="s">
        <v>51</v>
      </c>
      <c r="B15" s="20">
        <f>B13*B14</f>
        <v>1489793091.134797</v>
      </c>
      <c r="C15" s="20">
        <f>C13*C14</f>
        <v>1455315930.5681689</v>
      </c>
      <c r="D15" s="20">
        <f>D13*D14</f>
        <v>1421636648.98743</v>
      </c>
      <c r="E15" s="20">
        <f>E13*E14</f>
        <v>1388736781.679544</v>
      </c>
      <c r="F15" s="20">
        <f>F13*F14</f>
        <v>1356598291.2464333</v>
      </c>
    </row>
    <row r="17" spans="1:2" x14ac:dyDescent="0.25">
      <c r="A17" s="22" t="s">
        <v>52</v>
      </c>
      <c r="B17" s="23">
        <f>SUM(B15:F15)</f>
        <v>7112080743.616373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1788042000.3253222</v>
      </c>
    </row>
    <row r="5" spans="1:2" x14ac:dyDescent="0.25">
      <c r="A5" t="s">
        <v>56</v>
      </c>
      <c r="B5" s="18">
        <f>IF(Assumptions!$B$33=0,B4,B4-Forecast!F11-Forecast!F10-Forecast!F12)</f>
        <v>8706763083.469877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0.39502861356243224</v>
      </c>
    </row>
    <row r="7" spans="1:2" x14ac:dyDescent="0.25">
      <c r="A7" t="s">
        <v>58</v>
      </c>
      <c r="B7" s="18">
        <f>-MAX(Forecast!F9,0)*B6</f>
        <v>-3439420549.479673</v>
      </c>
    </row>
    <row r="8" spans="1:2" x14ac:dyDescent="0.25">
      <c r="A8" t="s">
        <v>59</v>
      </c>
      <c r="B8" s="18">
        <f>IF(OR(Assumptions!$B$33=0,Assumptions!B12&lt;=0),B5,MAX(B5+B7,0))</f>
        <v>5267342533.990204</v>
      </c>
    </row>
    <row r="9" spans="1:2" x14ac:dyDescent="0.25">
      <c r="A9" t="s">
        <v>60</v>
      </c>
      <c r="B9" s="18">
        <f>B8*(1+Assumptions!B12)/(Assumptions!B26-Assumptions!B12)</f>
        <v>141016242528.66656</v>
      </c>
    </row>
    <row r="10" spans="1:2" x14ac:dyDescent="0.25">
      <c r="A10" t="s">
        <v>61</v>
      </c>
      <c r="B10" s="18">
        <f>B9/(1+Assumptions!B26)^(5-0.5*Assumptions!B32)</f>
        <v>106989876981.39948</v>
      </c>
    </row>
    <row r="11" spans="1:2" x14ac:dyDescent="0.25">
      <c r="A11" t="s">
        <v>62</v>
      </c>
      <c r="B11" s="18">
        <f>Forecast!B17+B10</f>
        <v>114101957725.01585</v>
      </c>
    </row>
    <row r="12" spans="1:2" x14ac:dyDescent="0.25">
      <c r="A12" t="s">
        <v>63</v>
      </c>
      <c r="B12" s="18">
        <f>-Assumptions!B30</f>
        <v>-90624000000</v>
      </c>
    </row>
    <row r="13" spans="1:2" x14ac:dyDescent="0.25">
      <c r="A13" t="s">
        <v>64</v>
      </c>
      <c r="B13" s="18">
        <f>B11+B12</f>
        <v>23477957725.015854</v>
      </c>
    </row>
    <row r="14" spans="1:2" x14ac:dyDescent="0.25">
      <c r="A14" s="19" t="s">
        <v>65</v>
      </c>
      <c r="B14" s="24">
        <f>B13/Assumptions!B31</f>
        <v>30.216161808257212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18104633378.0763</v>
      </c>
    </row>
    <row r="18" spans="1:2" x14ac:dyDescent="0.25">
      <c r="A18" t="s">
        <v>60</v>
      </c>
      <c r="B18" s="18">
        <f>B17*Assumptions!B13</f>
        <v>202677594255.21463</v>
      </c>
    </row>
    <row r="19" spans="1:2" x14ac:dyDescent="0.25">
      <c r="A19" t="s">
        <v>61</v>
      </c>
      <c r="B19" s="18">
        <f>B18/(1+Assumptions!B26)^(5-0.5*Assumptions!B32)</f>
        <v>153772717861.51355</v>
      </c>
    </row>
    <row r="20" spans="1:2" x14ac:dyDescent="0.25">
      <c r="A20" t="s">
        <v>62</v>
      </c>
      <c r="B20" s="18">
        <f>Forecast!B17+B19</f>
        <v>160884798605.1299</v>
      </c>
    </row>
    <row r="21" spans="1:2" x14ac:dyDescent="0.25">
      <c r="A21" t="s">
        <v>63</v>
      </c>
      <c r="B21" s="18">
        <f>-Assumptions!B30</f>
        <v>-90624000000</v>
      </c>
    </row>
    <row r="22" spans="1:2" x14ac:dyDescent="0.25">
      <c r="A22" t="s">
        <v>64</v>
      </c>
      <c r="B22" s="18">
        <f>B20+B21</f>
        <v>70260798605.12991</v>
      </c>
    </row>
    <row r="23" spans="1:2" x14ac:dyDescent="0.25">
      <c r="A23" s="19" t="s">
        <v>65</v>
      </c>
      <c r="B23" s="25">
        <f>B22/Assumptions!B31</f>
        <v>90.42573823054043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117.53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30.216161808257212</v>
      </c>
    </row>
    <row r="29" spans="1:2" x14ac:dyDescent="0.25">
      <c r="A29" s="19" t="s">
        <v>73</v>
      </c>
      <c r="B29" s="12">
        <f>B28/B26-1</f>
        <v>-0.7429068169126418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0.043287</v>
      </c>
      <c r="B5" s="31">
        <v>129.16159747794435</v>
      </c>
      <c r="C5" s="31">
        <v>142.19816313304497</v>
      </c>
      <c r="D5" s="31">
        <v>161.87555360424682</v>
      </c>
      <c r="E5" s="31">
        <v>195.6907488148979</v>
      </c>
      <c r="F5" s="31">
        <v>269.2340795350883</v>
      </c>
    </row>
    <row r="6" spans="1:6" x14ac:dyDescent="0.25">
      <c r="A6" s="30">
        <v>0.053287</v>
      </c>
      <c r="B6" s="31">
        <v>61.70966869882591</v>
      </c>
      <c r="C6" s="31">
        <v>62.54205358117676</v>
      </c>
      <c r="D6" s="31">
        <v>63.374438463527525</v>
      </c>
      <c r="E6" s="31">
        <v>64.20682334587838</v>
      </c>
      <c r="F6" s="31">
        <v>65.0392082282291</v>
      </c>
    </row>
    <row r="7" spans="1:6" x14ac:dyDescent="0.25">
      <c r="A7" s="30">
        <v>0.063287</v>
      </c>
      <c r="B7" s="31">
        <v>28.87155963349722</v>
      </c>
      <c r="C7" s="31">
        <v>29.543241981271514</v>
      </c>
      <c r="D7" s="32">
        <v>30.21492432904575</v>
      </c>
      <c r="E7" s="31">
        <v>30.886606676820005</v>
      </c>
      <c r="F7" s="31">
        <v>31.558289024594302</v>
      </c>
    </row>
    <row r="8" spans="1:6" x14ac:dyDescent="0.25">
      <c r="A8" s="30">
        <v>0.073287</v>
      </c>
      <c r="B8" s="31">
        <v>5.202487311740909</v>
      </c>
      <c r="C8" s="31">
        <v>5.758593025950605</v>
      </c>
      <c r="D8" s="31">
        <v>6.314698740160222</v>
      </c>
      <c r="E8" s="31">
        <v>6.870804454369877</v>
      </c>
      <c r="F8" s="31">
        <v>7.426910168579495</v>
      </c>
    </row>
    <row r="9" spans="1:6" x14ac:dyDescent="0.25">
      <c r="A9" s="30">
        <v>0.083287</v>
      </c>
      <c r="B9" s="31">
        <v>-12.611011260266082</v>
      </c>
      <c r="C9" s="31">
        <v>-12.141676627760132</v>
      </c>
      <c r="D9" s="31">
        <v>-11.672341995254182</v>
      </c>
      <c r="E9" s="31">
        <v>-11.203007362748233</v>
      </c>
      <c r="F9" s="31">
        <v>-10.733672730242283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32237000000</v>
      </c>
      <c r="C5" s="18">
        <v>30357000000</v>
      </c>
      <c r="D5" s="18">
        <v>29060000000</v>
      </c>
      <c r="E5" s="18">
        <v>28768000000</v>
      </c>
      <c r="F5" s="8" t="s">
        <v>84</v>
      </c>
    </row>
    <row r="6" spans="1:6" x14ac:dyDescent="0.25">
      <c r="A6" t="s">
        <v>44</v>
      </c>
      <c r="B6" s="18">
        <v>8577000000</v>
      </c>
      <c r="C6" s="18">
        <v>7938000000</v>
      </c>
      <c r="D6" s="18">
        <v>7103000000</v>
      </c>
      <c r="E6" s="18">
        <v>6424000000</v>
      </c>
      <c r="F6" s="8" t="s">
        <v>85</v>
      </c>
    </row>
    <row r="7" spans="1:6" x14ac:dyDescent="0.25">
      <c r="A7" t="s">
        <v>86</v>
      </c>
      <c r="B7" s="18">
        <v>7704000000</v>
      </c>
      <c r="C7" s="18">
        <v>6419000000</v>
      </c>
      <c r="D7" s="18">
        <v>6084000000</v>
      </c>
      <c r="E7" s="18">
        <v>5843000000</v>
      </c>
      <c r="F7" s="8" t="s">
        <v>87</v>
      </c>
    </row>
    <row r="8" spans="1:6" x14ac:dyDescent="0.25">
      <c r="A8" t="s">
        <v>88</v>
      </c>
      <c r="B8" s="18">
        <v>14024000000</v>
      </c>
      <c r="C8" s="18">
        <v>12280000000</v>
      </c>
      <c r="D8" s="18">
        <v>12604000000</v>
      </c>
      <c r="E8" s="18">
        <v>11367000000</v>
      </c>
      <c r="F8" s="8" t="s">
        <v>89</v>
      </c>
    </row>
    <row r="9" spans="1:6" x14ac:dyDescent="0.25">
      <c r="A9" t="s">
        <v>90</v>
      </c>
      <c r="B9" s="18">
        <v>616000000</v>
      </c>
      <c r="C9" s="18">
        <v>-1151000000</v>
      </c>
      <c r="D9" s="18">
        <v>-187000000</v>
      </c>
      <c r="E9" s="18">
        <v>3248000000</v>
      </c>
      <c r="F9" s="8" t="s">
        <v>91</v>
      </c>
    </row>
    <row r="10" spans="1:6" x14ac:dyDescent="0.25">
      <c r="A10" t="s">
        <v>92</v>
      </c>
      <c r="B10" s="18">
        <v>90869000000</v>
      </c>
      <c r="C10" s="18">
        <v>85230000000</v>
      </c>
      <c r="D10" s="18">
        <v>80457000000</v>
      </c>
      <c r="E10" s="18">
        <v>74579000000</v>
      </c>
      <c r="F10" s="8" t="s">
        <v>93</v>
      </c>
    </row>
    <row r="11" spans="1:6" x14ac:dyDescent="0.25">
      <c r="A11" t="s">
        <v>94</v>
      </c>
      <c r="B11" s="18">
        <v>245000000</v>
      </c>
      <c r="C11" s="18">
        <v>314000000</v>
      </c>
      <c r="D11" s="18">
        <v>253000000</v>
      </c>
      <c r="E11" s="18">
        <v>409000000</v>
      </c>
      <c r="F11" s="8" t="s">
        <v>95</v>
      </c>
    </row>
    <row r="12" spans="1:6" x14ac:dyDescent="0.25">
      <c r="A12" t="s">
        <v>32</v>
      </c>
      <c r="B12" s="34">
        <v>777000000</v>
      </c>
      <c r="C12" s="34">
        <v>772000000</v>
      </c>
      <c r="D12" s="34">
        <v>771000000</v>
      </c>
      <c r="E12" s="34">
        <v>770000000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