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<sst xmlns="http://schemas.openxmlformats.org/spreadsheetml/2006/main" count="119" uniqueCount="106">
  <si>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DaVita Inc. (DVA)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</si>
  <si>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</si>
  <si>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</si>
  <si>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</si>
  <si>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</si>
  <si>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</si>
  <si>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</si>
  <si>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</si>
  <si>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</si>
  <si>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</si>
  <si>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</si>
  <si>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</si>
  <si>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</si>
  <si>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</si>
  <si>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</si>
  <si>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</si>
  <si>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</si>
  <si>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</si>
  <si>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</si>
  <si>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</si>
  <si>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</si>
  <si>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</si>
  <si>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</si>
  <si>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</si>
  <si>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3.5x interest cover. Book interest / average debt was lower, at 4.7%.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</si>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</sst>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0.03773020645134895</v>
      </c>
    </row>
    <row r="7" spans="1:2" x14ac:dyDescent="0.25">
      <c r="A7" t="s">
        <v>4</v>
      </c>
      <c r="B7" s="5">
        <v>0.13620968701847203</v>
      </c>
    </row>
    <row r="8" spans="1:2" x14ac:dyDescent="0.25">
      <c r="A8" t="s">
        <v>5</v>
      </c>
      <c r="B8" s="5">
        <v>0.1959997596545953</v>
      </c>
    </row>
    <row r="9" spans="1:2" x14ac:dyDescent="0.25">
      <c r="A9" t="s">
        <v>6</v>
      </c>
      <c r="B9" s="5">
        <v>0.05835516667678288</v>
      </c>
    </row>
    <row r="10" spans="1:3" x14ac:dyDescent="0.25">
      <c r="A10" t="s">
        <v>7</v>
      </c>
      <c r="B10" s="5">
        <v>0.046077922479457155</v>
      </c>
      <c r="C10" s="6" t="s">
        <v>8</v>
      </c>
    </row>
    <row r="11" spans="1:2" x14ac:dyDescent="0.25">
      <c r="A11" t="s">
        <v>9</v>
      </c>
      <c r="B11" s="5">
        <v>0.13653421781656483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8.792247002618891</v>
      </c>
    </row>
    <row r="14" spans="1:3" x14ac:dyDescent="0.25">
      <c r="A14" t="s">
        <v>12</v>
      </c>
      <c r="B14" s="5">
        <v>0.15025569168132027</v>
      </c>
      <c r="C14" s="6" t="s">
        <v>13</v>
      </c>
    </row>
    <row r="15" spans="1:3" x14ac:dyDescent="0.25">
      <c r="A15" t="s">
        <v>14</v>
      </c>
      <c r="B15" s="5">
        <v>0.05835516667678288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0.86265</v>
      </c>
      <c r="C19" s="6" t="s">
        <v>21</v>
      </c>
    </row>
    <row r="20" spans="1:2" x14ac:dyDescent="0.25">
      <c r="A20" t="s">
        <v>22</v>
      </c>
      <c r="B20" s="9">
        <f>B17+B19*B18</f>
        <v>0.08543009500000001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11793750016</v>
      </c>
    </row>
    <row r="23" spans="1:2" x14ac:dyDescent="0.25">
      <c r="A23" t="s">
        <v>26</v>
      </c>
      <c r="B23" s="10">
        <v>12874331000</v>
      </c>
    </row>
    <row r="24" spans="1:2" x14ac:dyDescent="0.25">
      <c r="A24" t="s">
        <v>27</v>
      </c>
      <c r="B24" s="9">
        <f>B22/(B22+B23)</f>
        <v>0.4780975872566025</v>
      </c>
    </row>
    <row r="25" spans="1:2" x14ac:dyDescent="0.25">
      <c r="A25" t="s">
        <v>28</v>
      </c>
      <c r="B25" s="9">
        <f>1-B24</f>
        <v>0.5219024127433975</v>
      </c>
    </row>
    <row r="26" spans="1:2" x14ac:dyDescent="0.25">
      <c r="A26" t="s">
        <v>29</v>
      </c>
      <c r="B26" s="11">
        <f>B24*B20+B25*B21*(1-B8)</f>
        <v>0.06511414533854437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13643069000</v>
      </c>
      <c r="C29" s="6" t="s">
        <v>32</v>
      </c>
    </row>
    <row r="30" spans="1:2" x14ac:dyDescent="0.25">
      <c r="A30" t="s">
        <v>33</v>
      </c>
      <c r="B30" s="10">
        <v>12173590000</v>
      </c>
    </row>
    <row r="31" spans="1:2" x14ac:dyDescent="0.25">
      <c r="A31" t="s">
        <v>34</v>
      </c>
      <c r="B31" s="12">
        <v>75885000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0.03773020645134895</v>
      </c>
      <c r="C5" s="5">
        <v>0.037192313583939596</v>
      </c>
      <c r="D5" s="5">
        <v>0.03566827438594715</v>
      </c>
      <c r="E5" s="5">
        <v>0.034144235187954695</v>
      </c>
      <c r="F5" s="5">
        <v>0.03262019598996225</v>
      </c>
      <c r="G5" s="5">
        <v>0.0310961567919698</v>
      </c>
      <c r="H5" s="5">
        <v>0.02957211759397735</v>
      </c>
      <c r="I5" s="5">
        <v>0.0280480783959849</v>
      </c>
      <c r="J5" s="5">
        <v>0.02652403919799245</v>
      </c>
      <c r="K5" s="5">
        <v>0.025</v>
      </c>
    </row>
    <row r="6" spans="1:11" x14ac:dyDescent="0.25">
      <c r="A6" t="s">
        <v>50</v>
      </c>
      <c r="B6" s="18">
        <f>Assumptions!B29*(1+B5)</f>
        <v>14157824809.999998</v>
      </c>
      <c r="C6" s="18">
        <f>B6*(1+C5)</f>
        <v>14684387069.999998</v>
      </c>
      <c r="D6" s="18">
        <f>C6*(1+D5)</f>
        <v>15208153817.202211</v>
      </c>
      <c r="E6" s="18">
        <f>D6*(1+E5)</f>
        <v>15727424597.911354</v>
      </c>
      <c r="F6" s="18">
        <f>E6*(1+F5)</f>
        <v>16240456270.712578</v>
      </c>
      <c r="G6" s="18">
        <f>F6*(1+G5)</f>
        <v>16745472045.279787</v>
      </c>
      <c r="H6" s="18">
        <f>G6*(1+H5)</f>
        <v>17240671113.769463</v>
      </c>
      <c r="I6" s="18">
        <f>H6*(1+I5)</f>
        <v>17724238808.76786</v>
      </c>
      <c r="J6" s="18">
        <f>I6*(1+J5)</f>
        <v>18194357213.686195</v>
      </c>
      <c r="K6" s="18">
        <f>J6*(1+K5)</f>
        <v>18649216144.028347</v>
      </c>
    </row>
    <row r="7" spans="1:11" x14ac:dyDescent="0.25">
      <c r="A7" t="s">
        <v>4</v>
      </c>
      <c r="B7" s="9">
        <f>Assumptions!B7</f>
        <v>0.13620968701847203</v>
      </c>
      <c r="C7" s="9">
        <f>Assumptions!B7</f>
        <v>0.13620968701847203</v>
      </c>
      <c r="D7" s="9">
        <f>Assumptions!B7</f>
        <v>0.13620968701847203</v>
      </c>
      <c r="E7" s="9">
        <f>Assumptions!B7</f>
        <v>0.13620968701847203</v>
      </c>
      <c r="F7" s="9">
        <f>Assumptions!B7</f>
        <v>0.13620968701847203</v>
      </c>
      <c r="G7" s="9">
        <f>Assumptions!B7</f>
        <v>0.13620968701847203</v>
      </c>
      <c r="H7" s="9">
        <f>Assumptions!B7</f>
        <v>0.13620968701847203</v>
      </c>
      <c r="I7" s="9">
        <f>Assumptions!B7</f>
        <v>0.13620968701847203</v>
      </c>
      <c r="J7" s="9">
        <f>Assumptions!B7</f>
        <v>0.13620968701847203</v>
      </c>
      <c r="K7" s="9">
        <f>Assumptions!B7</f>
        <v>0.13620968701847203</v>
      </c>
    </row>
    <row r="8" spans="1:11" x14ac:dyDescent="0.25">
      <c r="A8" t="s">
        <v>51</v>
      </c>
      <c r="B8" s="18">
        <f>B6*B7</f>
        <v>1928432886.2324579</v>
      </c>
      <c r="C8" s="18">
        <f>C6*C7</f>
        <v>2000155766.8627973</v>
      </c>
      <c r="D8" s="18">
        <f>D6*D7</f>
        <v>2071497871.5698938</v>
      </c>
      <c r="E8" s="18">
        <f>E6*E7</f>
        <v>2142227582.0881238</v>
      </c>
      <c r="F8" s="18">
        <f>F6*F7</f>
        <v>2212107465.670942</v>
      </c>
      <c r="G8" s="18">
        <f>G6*G7</f>
        <v>2280895506.2641325</v>
      </c>
      <c r="H8" s="18">
        <f>H6*H7</f>
        <v>2348346416.39495</v>
      </c>
      <c r="I8" s="18">
        <f>I6*I7</f>
        <v>2414213020.7829256</v>
      </c>
      <c r="J8" s="18">
        <f>J6*J7</f>
        <v>2478247701.5784755</v>
      </c>
      <c r="K8" s="18">
        <f>K6*K7</f>
        <v>2540203894.117937</v>
      </c>
    </row>
    <row r="9" spans="1:11" x14ac:dyDescent="0.25">
      <c r="A9" t="s">
        <v>52</v>
      </c>
      <c r="B9" s="18">
        <f>B8*(1-Assumptions!B8)</f>
        <v>1550460504.0208788</v>
      </c>
      <c r="C9" s="18">
        <f>C8*(1-Assumptions!B8)</f>
        <v>1608125717.2859364</v>
      </c>
      <c r="D9" s="18">
        <f>D8*(1-Assumptions!B8)</f>
        <v>1665484786.617189</v>
      </c>
      <c r="E9" s="18">
        <f>E8*(1-Assumptions!B8)</f>
        <v>1722351490.873407</v>
      </c>
      <c r="F9" s="18">
        <f>F8*(1-Assumptions!B8)</f>
        <v>1778534934.0693014</v>
      </c>
      <c r="G9" s="18">
        <f>G8*(1-Assumptions!B8)</f>
        <v>1833840535.2391162</v>
      </c>
      <c r="H9" s="18">
        <f>H8*(1-Assumptions!B8)</f>
        <v>1888071083.1958096</v>
      </c>
      <c r="I9" s="18">
        <f>I8*(1-Assumptions!B8)</f>
        <v>1941027848.9544778</v>
      </c>
      <c r="J9" s="18">
        <f>J8*(1-Assumptions!B8)</f>
        <v>1992511747.7045412</v>
      </c>
      <c r="K9" s="18">
        <f>K8*(1-Assumptions!B8)</f>
        <v>2042324541.3971546</v>
      </c>
    </row>
    <row r="10" spans="1:11" x14ac:dyDescent="0.25">
      <c r="A10" t="s">
        <v>53</v>
      </c>
      <c r="B10" s="18">
        <f>B6*Assumptions!B9</f>
        <v>826182226.5682418</v>
      </c>
      <c r="C10" s="18">
        <f>C6*Assumptions!B9</f>
        <v>856909855.0162452</v>
      </c>
      <c r="D10" s="18">
        <f>D6*Assumptions!B9</f>
        <v>887474350.8489869</v>
      </c>
      <c r="E10" s="18">
        <f>E6*Assumptions!B9</f>
        <v>917776483.807652</v>
      </c>
      <c r="F10" s="18">
        <f>F6*Assumptions!B9</f>
        <v>947714532.5844362</v>
      </c>
      <c r="G10" s="18">
        <f>G6*Assumptions!B9</f>
        <v>977184812.2837102</v>
      </c>
      <c r="H10" s="18">
        <f>H6*Assumptions!B9</f>
        <v>1006082236.4636129</v>
      </c>
      <c r="I10" s="18">
        <f>I6*Assumptions!B9</f>
        <v>1034300909.9047521</v>
      </c>
      <c r="J10" s="18">
        <f>J6*Assumptions!B9</f>
        <v>1061734747.7815849</v>
      </c>
      <c r="K10" s="18">
        <f>K6*Assumptions!B9</f>
        <v>1088278116.4761243</v>
      </c>
    </row>
    <row r="11" spans="1:11" x14ac:dyDescent="0.25">
      <c r="A11" t="s">
        <v>54</v>
      </c>
      <c r="B11" s="18">
        <f>-B6*B19</f>
        <v>-652363154.0729151</v>
      </c>
      <c r="C11" s="18">
        <f>-C6*C19</f>
        <v>-726387011.8220252</v>
      </c>
      <c r="D11" s="18">
        <f>-D6*D19</f>
        <v>-803831833.4954586</v>
      </c>
      <c r="E11" s="18">
        <f>-E6*E19</f>
        <v>-884573559.2928051</v>
      </c>
      <c r="F11" s="18">
        <f>-F6*F19</f>
        <v>-968462534.5283307</v>
      </c>
      <c r="G11" s="18">
        <f>-G6*G19</f>
        <v>-1055323355.9903855</v>
      </c>
      <c r="H11" s="18">
        <f>-H6*H19</f>
        <v>-1144954941.4332676</v>
      </c>
      <c r="I11" s="18">
        <f>-I6*I19</f>
        <v>-1237130831.649236</v>
      </c>
      <c r="J11" s="18">
        <f>-J6*J19</f>
        <v>-1331599732.1873968</v>
      </c>
      <c r="K11" s="18">
        <f>-K6*K19</f>
        <v>-1428086299.2051942</v>
      </c>
    </row>
    <row r="12" spans="1:11" x14ac:dyDescent="0.25">
      <c r="A12" t="s">
        <v>55</v>
      </c>
      <c r="B12" s="18">
        <f>-(B6-Assumptions!B29)*Assumptions!B11</f>
        <v>-70281781.884882</v>
      </c>
      <c r="C12" s="18">
        <f>-(C6-B6)*Assumptions!B11</f>
        <v>-71893766.30082265</v>
      </c>
      <c r="D12" s="18">
        <f>-(D6-C6)*Assumptions!B11</f>
        <v>-71512083.14758064</v>
      </c>
      <c r="E12" s="18">
        <f>-(E6-D6)*Assumptions!B11</f>
        <v>-70898229.87911975</v>
      </c>
      <c r="F12" s="18">
        <f>-(F6-E6)*Assumptions!B11</f>
        <v>-70046378.1610389</v>
      </c>
      <c r="G12" s="18">
        <f>-(G6-F6)*Assumptions!B11</f>
        <v>-68951933.76556055</v>
      </c>
      <c r="H12" s="18">
        <f>-(H6-G6)*Assumptions!B11</f>
        <v>-67611617.47972937</v>
      </c>
      <c r="I12" s="18">
        <f>-(I6-H6)*Assumptions!B11</f>
        <v>-66023536.99796543</v>
      </c>
      <c r="J12" s="18">
        <f>-(J6-I6)*Assumptions!B11</f>
        <v>-64187248.69669597</v>
      </c>
      <c r="K12" s="18">
        <f>-(K6-J6)*Assumptions!B11</f>
        <v>-62103808.27114502</v>
      </c>
    </row>
    <row r="13" spans="1:11" x14ac:dyDescent="0.25">
      <c r="A13" s="19" t="s">
        <v>56</v>
      </c>
      <c r="B13" s="20">
        <f>B9+B10+B11+B12</f>
        <v>1653997794.6313238</v>
      </c>
      <c r="C13" s="20">
        <f>C9+C10+C11+C12</f>
        <v>1666754794.1793337</v>
      </c>
      <c r="D13" s="20">
        <f>D9+D10+D11+D12</f>
        <v>1677615220.8231368</v>
      </c>
      <c r="E13" s="20">
        <f>E9+E10+E11+E12</f>
        <v>1684656185.5091338</v>
      </c>
      <c r="F13" s="20">
        <f>F9+F10+F11+F12</f>
        <v>1687740553.9643679</v>
      </c>
      <c r="G13" s="20">
        <f>G9+G10+G11+G12</f>
        <v>1686750057.76688</v>
      </c>
      <c r="H13" s="20">
        <f>H9+H10+H11+H12</f>
        <v>1681586760.7464254</v>
      </c>
      <c r="I13" s="20">
        <f>I9+I10+I11+I12</f>
        <v>1672174390.2120287</v>
      </c>
      <c r="J13" s="20">
        <f>J9+J10+J11+J12</f>
        <v>1658459514.6020331</v>
      </c>
      <c r="K13" s="20">
        <f>K9+K10+K11+K12</f>
        <v>1640412550.3969393</v>
      </c>
    </row>
    <row r="14" spans="1:11" x14ac:dyDescent="0.25">
      <c r="A14" t="s">
        <v>57</v>
      </c>
      <c r="B14" s="21">
        <f>1/(1+Assumptions!$B$26)^(1-0.5*Assumptions!$B$32)</f>
        <v>0.9689512421365396</v>
      </c>
      <c r="C14" s="21">
        <f>1/(1+Assumptions!$B$26)^(2-0.5*Assumptions!$B$32)</f>
        <v>0.9097158707140823</v>
      </c>
      <c r="D14" s="21">
        <f>1/(1+Assumptions!$B$26)^(3-0.5*Assumptions!$B$32)</f>
        <v>0.8541017642995727</v>
      </c>
      <c r="E14" s="21">
        <f>1/(1+Assumptions!$B$26)^(4-0.5*Assumptions!$B$32)</f>
        <v>0.801887542323549</v>
      </c>
      <c r="F14" s="21">
        <f>1/(1+Assumptions!$B$26)^(5-0.5*Assumptions!$B$32)</f>
        <v>0.7528653579834588</v>
      </c>
      <c r="G14" s="21">
        <f>1/(1+Assumptions!$B$26)^(6-0.5*Assumptions!$B$32)</f>
        <v>0.7068400708772505</v>
      </c>
      <c r="H14" s="21">
        <f>1/(1+Assumptions!$B$26)^(7-0.5*Assumptions!$B$32)</f>
        <v>0.6636284702167605</v>
      </c>
      <c r="I14" s="21">
        <f>1/(1+Assumptions!$B$26)^(8-0.5*Assumptions!$B$32)</f>
        <v>0.6230585455287775</v>
      </c>
      <c r="J14" s="21">
        <f>1/(1+Assumptions!$B$26)^(9-0.5*Assumptions!$B$32)</f>
        <v>0.5849688019406968</v>
      </c>
      <c r="K14" s="21">
        <f>1/(1+Assumptions!$B$26)^(10-0.5*Assumptions!$B$32)</f>
        <v>0.5492076173251512</v>
      </c>
    </row>
    <row r="15" spans="1:11" x14ac:dyDescent="0.25">
      <c r="A15" s="19" t="s">
        <v>58</v>
      </c>
      <c r="B15" s="20">
        <f>B13*B14</f>
        <v>1602643217.5991182</v>
      </c>
      <c r="C15" s="20">
        <f>C13*C14</f>
        <v>1516273288.8537235</v>
      </c>
      <c r="D15" s="20">
        <f>D13*D14</f>
        <v>1432854119.9208584</v>
      </c>
      <c r="E15" s="20">
        <f>E13*E14</f>
        <v>1350904808.258084</v>
      </c>
      <c r="F15" s="20">
        <f>F13*F14</f>
        <v>1270641396.3435848</v>
      </c>
      <c r="G15" s="20">
        <f>G13*G14</f>
        <v>1192262530.384148</v>
      </c>
      <c r="H15" s="20">
        <f>H13*H14</f>
        <v>1115948849.570908</v>
      </c>
      <c r="I15" s="20">
        <f>I13*I14</f>
        <v>1041862543.435977</v>
      </c>
      <c r="J15" s="20">
        <f>J13*J14</f>
        <v>970147075.3239008</v>
      </c>
      <c r="K15" s="20">
        <f>K13*K14</f>
        <v>900927068.2337775</v>
      </c>
    </row>
    <row r="17" spans="1:2" x14ac:dyDescent="0.25">
      <c r="A17" s="22" t="s">
        <v>59</v>
      </c>
      <c r="B17" s="23">
        <f>SUM(B15:K15)</f>
        <v>12394464897.92408</v>
      </c>
    </row>
    <row r="19" spans="1:11" x14ac:dyDescent="0.25">
      <c r="A19" t="s">
        <v>7</v>
      </c>
      <c r="B19" s="9">
        <f>Assumptions!$B$10+($B$20-Assumptions!$B$10)*0/9</f>
        <v>0.046077922479457155</v>
      </c>
      <c r="C19" s="9">
        <f>Assumptions!$B$10+($B$20-Assumptions!$B$10)*1/9</f>
        <v>0.04946662113708674</v>
      </c>
      <c r="D19" s="9">
        <f>Assumptions!$B$10+($B$20-Assumptions!$B$10)*2/9</f>
        <v>0.05285531979471632</v>
      </c>
      <c r="E19" s="9">
        <f>Assumptions!$B$10+($B$20-Assumptions!$B$10)*3/9</f>
        <v>0.056244018452345904</v>
      </c>
      <c r="F19" s="9">
        <f>Assumptions!$B$10+($B$20-Assumptions!$B$10)*4/9</f>
        <v>0.05963271710997549</v>
      </c>
      <c r="G19" s="9">
        <f>Assumptions!$B$10+($B$20-Assumptions!$B$10)*5/9</f>
        <v>0.06302141576760507</v>
      </c>
      <c r="H19" s="9">
        <f>Assumptions!$B$10+($B$20-Assumptions!$B$10)*6/9</f>
        <v>0.06641011442523465</v>
      </c>
      <c r="I19" s="9">
        <f>Assumptions!$B$10+($B$20-Assumptions!$B$10)*7/9</f>
        <v>0.06979881308286423</v>
      </c>
      <c r="J19" s="9">
        <f>Assumptions!$B$10+($B$20-Assumptions!$B$10)*8/9</f>
        <v>0.07318751174049382</v>
      </c>
      <c r="K19" s="9">
        <f>Assumptions!$B$10+($B$20-Assumptions!$B$10)*9/9</f>
        <v>0.0765762103981234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0.0765762103981234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1640412550.3969393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2042324541.3971546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0.16638304825765207</v>
      </c>
    </row>
    <row r="7" spans="1:2" x14ac:dyDescent="0.25">
      <c r="A7" t="s">
        <v>66</v>
      </c>
      <c r="B7" s="18">
        <f>-MAX(B5,0)*B6</f>
        <v>-339808182.7290699</v>
      </c>
    </row>
    <row r="8" spans="1:2" x14ac:dyDescent="0.25">
      <c r="A8" t="s">
        <v>67</v>
      </c>
      <c r="B8" s="18">
        <f>IF(OR(Assumptions!$B$33=0,Assumptions!B12&lt;=0),B5,MAX(B5+B7,0))</f>
        <v>1702516358.6680846</v>
      </c>
    </row>
    <row r="9" spans="1:2" x14ac:dyDescent="0.25">
      <c r="A9" t="s">
        <v>68</v>
      </c>
      <c r="B9" s="18">
        <f>B8*(1+Assumptions!B12)/(Assumptions!B26-Assumptions!B12)</f>
        <v>43502840529.37299</v>
      </c>
    </row>
    <row r="10" spans="1:2" x14ac:dyDescent="0.25">
      <c r="A10" t="s">
        <v>69</v>
      </c>
      <c r="B10" s="18">
        <f>B9/(1+Assumptions!B26)^(10-0.5*Assumptions!B32)</f>
        <v>23892091394.012962</v>
      </c>
    </row>
    <row r="11" spans="1:2" x14ac:dyDescent="0.25">
      <c r="A11" t="s">
        <v>70</v>
      </c>
      <c r="B11" s="18">
        <f>Forecast!B17+B10</f>
        <v>36286556291.93704</v>
      </c>
    </row>
    <row r="12" spans="1:2" x14ac:dyDescent="0.25">
      <c r="A12" t="s">
        <v>71</v>
      </c>
      <c r="B12" s="18">
        <f>-Assumptions!B30</f>
        <v>-12173590000</v>
      </c>
    </row>
    <row r="13" spans="1:2" x14ac:dyDescent="0.25">
      <c r="A13" t="s">
        <v>72</v>
      </c>
      <c r="B13" s="18">
        <f>B11+B12</f>
        <v>24112966291.937042</v>
      </c>
    </row>
    <row r="14" spans="1:2" x14ac:dyDescent="0.25">
      <c r="A14" s="19" t="s">
        <v>73</v>
      </c>
      <c r="B14" s="24">
        <f>B13/Assumptions!B31</f>
        <v>317.7566883038419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3628482010.5940614</v>
      </c>
    </row>
    <row r="18" spans="1:2" x14ac:dyDescent="0.25">
      <c r="A18" t="s">
        <v>68</v>
      </c>
      <c r="B18" s="18">
        <f>B17*Assumptions!B13</f>
        <v>31902510081.702206</v>
      </c>
    </row>
    <row r="19" spans="1:2" x14ac:dyDescent="0.25">
      <c r="A19" t="s">
        <v>69</v>
      </c>
      <c r="B19" s="18">
        <f>B18/(1+Assumptions!B26)^(10-0.5*Assumptions!B32)</f>
        <v>17521101548.663284</v>
      </c>
    </row>
    <row r="20" spans="1:2" x14ac:dyDescent="0.25">
      <c r="A20" t="s">
        <v>70</v>
      </c>
      <c r="B20" s="18">
        <f>Forecast!B17+B19</f>
        <v>29915566446.587364</v>
      </c>
    </row>
    <row r="21" spans="1:2" x14ac:dyDescent="0.25">
      <c r="A21" t="s">
        <v>71</v>
      </c>
      <c r="B21" s="18">
        <f>-Assumptions!B30</f>
        <v>-12173590000</v>
      </c>
    </row>
    <row r="22" spans="1:2" x14ac:dyDescent="0.25">
      <c r="A22" t="s">
        <v>72</v>
      </c>
      <c r="B22" s="18">
        <f>B20+B21</f>
        <v>17741976446.587364</v>
      </c>
    </row>
    <row r="23" spans="1:2" x14ac:dyDescent="0.25">
      <c r="A23" s="19" t="s">
        <v>73</v>
      </c>
      <c r="B23" s="25">
        <f>B22/Assumptions!B31</f>
        <v>233.8008360886521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187.5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317.7566883038419</v>
      </c>
    </row>
    <row r="29" spans="1:2" x14ac:dyDescent="0.25">
      <c r="A29" s="19" t="s">
        <v>81</v>
      </c>
      <c r="B29" s="11">
        <f>B28/B26-1</f>
        <v>0.6947023376204899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0.045114</v>
      </c>
      <c r="B5" s="31">
        <v>560.762709924318</v>
      </c>
      <c r="C5" s="31">
        <v>643.8372423259922</v>
      </c>
      <c r="D5" s="31">
        <v>769.4528939993944</v>
      </c>
      <c r="E5" s="31">
        <v>979.8299103511638</v>
      </c>
      <c r="F5" s="31">
        <v>1400.6772561999176</v>
      </c>
    </row>
    <row r="6" spans="1:6" x14ac:dyDescent="0.25">
      <c r="A6" s="30">
        <v>0.055114</v>
      </c>
      <c r="B6" s="31">
        <v>384.0334107891337</v>
      </c>
      <c r="C6" s="31">
        <v>420.0217140470554</v>
      </c>
      <c r="D6" s="31">
        <v>468.74180125745494</v>
      </c>
      <c r="E6" s="31">
        <v>537.7980667536592</v>
      </c>
      <c r="F6" s="31">
        <v>642.3561998210942</v>
      </c>
    </row>
    <row r="7" spans="1:6" x14ac:dyDescent="0.25">
      <c r="A7" s="30">
        <v>0.065114</v>
      </c>
      <c r="B7" s="31">
        <v>277.82455634424906</v>
      </c>
      <c r="C7" s="31">
        <v>295.3322854584194</v>
      </c>
      <c r="D7" s="32">
        <v>317.75833703289123</v>
      </c>
      <c r="E7" s="31">
        <v>347.2037202635561</v>
      </c>
      <c r="F7" s="31">
        <v>387.1648147360847</v>
      </c>
    </row>
    <row r="8" spans="1:6" x14ac:dyDescent="0.25">
      <c r="A8" s="30">
        <v>0.075114</v>
      </c>
      <c r="B8" s="31">
        <v>206.94140992596164</v>
      </c>
      <c r="C8" s="31">
        <v>215.81581430717404</v>
      </c>
      <c r="D8" s="31">
        <v>226.880141634267</v>
      </c>
      <c r="E8" s="31">
        <v>240.86252162724338</v>
      </c>
      <c r="F8" s="31">
        <v>258.85411422996947</v>
      </c>
    </row>
    <row r="9" spans="1:6" x14ac:dyDescent="0.25">
      <c r="A9" s="30">
        <v>0.085114</v>
      </c>
      <c r="B9" s="31">
        <v>156.26805030143336</v>
      </c>
      <c r="C9" s="31">
        <v>160.6628205667471</v>
      </c>
      <c r="D9" s="31">
        <v>166.11921686309353</v>
      </c>
      <c r="E9" s="31">
        <v>172.9261746781074</v>
      </c>
      <c r="F9" s="31">
        <v>181.48794078474637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13643069000</v>
      </c>
      <c r="C5" s="18">
        <v>12815550000</v>
      </c>
      <c r="D5" s="18">
        <v>12140147000</v>
      </c>
      <c r="E5" s="18">
        <v>11609894000</v>
      </c>
      <c r="F5" s="6" t="s">
        <v>91</v>
      </c>
    </row>
    <row r="6" spans="1:6" x14ac:dyDescent="0.25">
      <c r="A6" t="s">
        <v>51</v>
      </c>
      <c r="B6" s="18">
        <v>2010615000</v>
      </c>
      <c r="C6" s="18">
        <v>1954828000</v>
      </c>
      <c r="D6" s="18">
        <v>1601003000</v>
      </c>
      <c r="E6" s="18">
        <v>1312542000</v>
      </c>
      <c r="F6" s="6" t="s">
        <v>92</v>
      </c>
    </row>
    <row r="7" spans="1:6" x14ac:dyDescent="0.25">
      <c r="A7" t="s">
        <v>93</v>
      </c>
      <c r="B7" s="18">
        <v>715348000</v>
      </c>
      <c r="C7" s="18">
        <v>723860000</v>
      </c>
      <c r="D7" s="18">
        <v>745443000</v>
      </c>
      <c r="E7" s="18">
        <v>732602000</v>
      </c>
      <c r="F7" s="6" t="s">
        <v>94</v>
      </c>
    </row>
    <row r="8" spans="1:6" x14ac:dyDescent="0.25">
      <c r="A8" t="s">
        <v>95</v>
      </c>
      <c r="B8" s="18">
        <v>575864000</v>
      </c>
      <c r="C8" s="18">
        <v>555443000</v>
      </c>
      <c r="D8" s="18">
        <v>567985000</v>
      </c>
      <c r="E8" s="18">
        <v>603429000</v>
      </c>
      <c r="F8" s="6" t="s">
        <v>96</v>
      </c>
    </row>
    <row r="9" spans="1:6" x14ac:dyDescent="0.25">
      <c r="A9" t="s">
        <v>97</v>
      </c>
      <c r="B9" s="18">
        <v>263241000</v>
      </c>
      <c r="C9" s="18">
        <v>29821000</v>
      </c>
      <c r="D9" s="18">
        <v>-194535000</v>
      </c>
      <c r="E9" s="18">
        <v>-101000</v>
      </c>
      <c r="F9" s="6" t="s">
        <v>98</v>
      </c>
    </row>
    <row r="10" spans="1:6" x14ac:dyDescent="0.25">
      <c r="A10" t="s">
        <v>99</v>
      </c>
      <c r="B10" s="18">
        <v>12874331000</v>
      </c>
      <c r="C10" s="18">
        <v>12066836000</v>
      </c>
      <c r="D10" s="18">
        <v>11116421000</v>
      </c>
      <c r="E10" s="18">
        <v>11822490000</v>
      </c>
      <c r="F10" s="6" t="s">
        <v>100</v>
      </c>
    </row>
    <row r="11" spans="1:6" x14ac:dyDescent="0.25">
      <c r="A11" t="s">
        <v>101</v>
      </c>
      <c r="B11" s="18">
        <v>700741000</v>
      </c>
      <c r="C11" s="18">
        <v>845997000</v>
      </c>
      <c r="D11" s="18">
        <v>391673000</v>
      </c>
      <c r="E11" s="18">
        <v>321779000</v>
      </c>
      <c r="F11" s="6" t="s">
        <v>102</v>
      </c>
    </row>
    <row r="12" spans="1:6" x14ac:dyDescent="0.25">
      <c r="A12" t="s">
        <v>34</v>
      </c>
      <c r="B12" s="34">
        <v>75885000</v>
      </c>
      <c r="C12" s="34">
        <v>87274000</v>
      </c>
      <c r="D12" s="34">
        <v>93182000</v>
      </c>
      <c r="E12" s="34">
        <v>95834000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