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<sst xmlns="http://schemas.openxmlformats.org/spreadsheetml/2006/main" count="111" uniqueCount="99">
  <si>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DaVita Inc. (DVA)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</si>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</sst>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0.055264367135682946</v>
      </c>
    </row>
    <row r="7" spans="1:2" x14ac:dyDescent="0.25">
      <c r="A7" t="s">
        <v>5</v>
      </c>
      <c r="B7" s="6">
        <v>0.13620968701847203</v>
      </c>
    </row>
    <row r="8" spans="1:2" x14ac:dyDescent="0.25">
      <c r="A8" t="s">
        <v>6</v>
      </c>
      <c r="B8" s="6">
        <v>0.1959997596545953</v>
      </c>
    </row>
    <row r="9" spans="1:2" x14ac:dyDescent="0.25">
      <c r="A9" t="s">
        <v>7</v>
      </c>
      <c r="B9" s="6">
        <v>0.05835516667678288</v>
      </c>
    </row>
    <row r="10" spans="1:2" x14ac:dyDescent="0.25">
      <c r="A10" t="s">
        <v>8</v>
      </c>
      <c r="B10" s="6">
        <v>0.046077922479457155</v>
      </c>
    </row>
    <row r="11" spans="1:2" x14ac:dyDescent="0.25">
      <c r="A11" t="s">
        <v>9</v>
      </c>
      <c r="B11" s="6">
        <v>0.044152898343655565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8.768959138476935</v>
      </c>
    </row>
    <row r="14" spans="1:3" x14ac:dyDescent="0.25">
      <c r="A14" t="s">
        <v>12</v>
      </c>
      <c r="B14" s="6">
        <v>0.15025569168132027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0.8861</v>
      </c>
      <c r="C19" s="8" t="s">
        <v>19</v>
      </c>
    </row>
    <row r="20" spans="1:2" x14ac:dyDescent="0.25">
      <c r="A20" t="s">
        <v>20</v>
      </c>
      <c r="B20" s="10">
        <f>B17+B19*B18</f>
        <v>0.09871550000000001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11730268160</v>
      </c>
    </row>
    <row r="23" spans="1:2" x14ac:dyDescent="0.25">
      <c r="A23" t="s">
        <v>24</v>
      </c>
      <c r="B23" s="11">
        <v>12874331000</v>
      </c>
    </row>
    <row r="24" spans="1:2" x14ac:dyDescent="0.25">
      <c r="A24" t="s">
        <v>25</v>
      </c>
      <c r="B24" s="10">
        <f>B22/(B22+B23)</f>
        <v>0.47675103681713465</v>
      </c>
    </row>
    <row r="25" spans="1:2" x14ac:dyDescent="0.25">
      <c r="A25" t="s">
        <v>26</v>
      </c>
      <c r="B25" s="10">
        <f>1-B24</f>
        <v>0.5232489631828654</v>
      </c>
    </row>
    <row r="26" spans="1:2" x14ac:dyDescent="0.25">
      <c r="A26" t="s">
        <v>27</v>
      </c>
      <c r="B26" s="12">
        <f>B24*B20+B25*B21*(1-B8)</f>
        <v>0.06808891773705406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13643069000</v>
      </c>
      <c r="C29" s="8" t="s">
        <v>30</v>
      </c>
    </row>
    <row r="30" spans="1:2" x14ac:dyDescent="0.25">
      <c r="A30" t="s">
        <v>31</v>
      </c>
      <c r="B30" s="11">
        <v>12173590000</v>
      </c>
    </row>
    <row r="31" spans="1:2" x14ac:dyDescent="0.25">
      <c r="A31" t="s">
        <v>32</v>
      </c>
      <c r="B31" s="13">
        <v>75885000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0.055264367135682946</v>
      </c>
      <c r="C5" s="10">
        <f>Assumptions!B6</f>
        <v>0.055264367135682946</v>
      </c>
      <c r="D5" s="10">
        <f>Assumptions!B6</f>
        <v>0.055264367135682946</v>
      </c>
      <c r="E5" s="10">
        <f>Assumptions!B6</f>
        <v>0.055264367135682946</v>
      </c>
      <c r="F5" s="10">
        <f>Assumptions!B6</f>
        <v>0.055264367135682946</v>
      </c>
    </row>
    <row r="6" spans="1:6" x14ac:dyDescent="0.25">
      <c r="A6" t="s">
        <v>43</v>
      </c>
      <c r="B6" s="18">
        <f>Assumptions!B29*(1+B5)</f>
        <v>14397044574.073454</v>
      </c>
      <c r="C6" s="18">
        <f>B6*(1+C5)</f>
        <v>15192688131.083841</v>
      </c>
      <c r="D6" s="18">
        <f>C6*(1+D5)</f>
        <v>16032302425.737991</v>
      </c>
      <c r="E6" s="18">
        <f>D6*(1+E5)</f>
        <v>16918317473.024277</v>
      </c>
      <c r="F6" s="18">
        <f>E6*(1+F5)</f>
        <v>17853297581.17153</v>
      </c>
    </row>
    <row r="7" spans="1:6" x14ac:dyDescent="0.25">
      <c r="A7" t="s">
        <v>5</v>
      </c>
      <c r="B7" s="10">
        <f>Assumptions!B7</f>
        <v>0.13620968701847203</v>
      </c>
      <c r="C7" s="10">
        <f>Assumptions!B7</f>
        <v>0.13620968701847203</v>
      </c>
      <c r="D7" s="10">
        <f>Assumptions!B7</f>
        <v>0.13620968701847203</v>
      </c>
      <c r="E7" s="10">
        <f>Assumptions!B7</f>
        <v>0.13620968701847203</v>
      </c>
      <c r="F7" s="10">
        <f>Assumptions!B7</f>
        <v>0.13620968701847203</v>
      </c>
    </row>
    <row r="8" spans="1:6" x14ac:dyDescent="0.25">
      <c r="A8" t="s">
        <v>44</v>
      </c>
      <c r="B8" s="18">
        <f>B6*B7</f>
        <v>1961016935.4255362</v>
      </c>
      <c r="C8" s="18">
        <f>C6*C7</f>
        <v>2069391295.3041847</v>
      </c>
      <c r="D8" s="18">
        <f>D6*D7</f>
        <v>2183754895.5952616</v>
      </c>
      <c r="E8" s="18">
        <f>E6*E7</f>
        <v>2304438727.879783</v>
      </c>
      <c r="F8" s="18">
        <f>F6*F7</f>
        <v>2431792075.779018</v>
      </c>
    </row>
    <row r="9" spans="1:6" x14ac:dyDescent="0.25">
      <c r="A9" t="s">
        <v>45</v>
      </c>
      <c r="B9" s="18">
        <f>B8*(1-Assumptions!B8)</f>
        <v>1576658087.4035401</v>
      </c>
      <c r="C9" s="18">
        <f>C8*(1-Assumptions!B8)</f>
        <v>1663791098.793253</v>
      </c>
      <c r="D9" s="18">
        <f>D8*(1-Assumptions!B8)</f>
        <v>1755739460.9140446</v>
      </c>
      <c r="E9" s="18">
        <f>E8*(1-Assumptions!B8)</f>
        <v>1852769291.0766044</v>
      </c>
      <c r="F9" s="18">
        <f>F8*(1-Assumptions!B8)</f>
        <v>1955161413.3963811</v>
      </c>
    </row>
    <row r="10" spans="1:6" x14ac:dyDescent="0.25">
      <c r="A10" t="s">
        <v>46</v>
      </c>
      <c r="B10" s="18">
        <f>B6*Assumptions!B9</f>
        <v>840141935.773129</v>
      </c>
      <c r="C10" s="18">
        <f>C6*Assumptions!B9</f>
        <v>886571848.1577785</v>
      </c>
      <c r="D10" s="18">
        <f>D6*Assumptions!B9</f>
        <v>935567680.266531</v>
      </c>
      <c r="E10" s="18">
        <f>E6*Assumptions!B9</f>
        <v>987271236.0290598</v>
      </c>
      <c r="F10" s="18">
        <f>F6*Assumptions!B9</f>
        <v>1041832156.0794693</v>
      </c>
    </row>
    <row r="11" spans="1:6" x14ac:dyDescent="0.25">
      <c r="A11" t="s">
        <v>47</v>
      </c>
      <c r="B11" s="18">
        <f>-B6*Assumptions!B10</f>
        <v>-663385903.8174459</v>
      </c>
      <c r="C11" s="18">
        <f>-C6*Assumptions!B10</f>
        <v>-700047505.95865</v>
      </c>
      <c r="D11" s="18">
        <f>-D6*Assumptions!B10</f>
        <v>-738735188.340368</v>
      </c>
      <c r="E11" s="18">
        <f>-E6*Assumptions!B10</f>
        <v>-779560921.0048581</v>
      </c>
      <c r="F11" s="18">
        <f>-F6*Assumptions!B10</f>
        <v>-822642861.9479017</v>
      </c>
    </row>
    <row r="12" spans="1:6" x14ac:dyDescent="0.25">
      <c r="A12" t="s">
        <v>48</v>
      </c>
      <c r="B12" s="18">
        <f>-(B6-Assumptions!B29)*Assumptions!B11</f>
        <v>-33290206.87566456</v>
      </c>
      <c r="C12" s="18">
        <f>-(C6-B6)*Assumptions!B11</f>
        <v>-35129969.09046416</v>
      </c>
      <c r="D12" s="18">
        <f>-(D6-C6)*Assumptions!B11</f>
        <v>-37071404.59974475</v>
      </c>
      <c r="E12" s="18">
        <f>-(E6-D6)*Assumptions!B11</f>
        <v>-39120132.31378054</v>
      </c>
      <c r="F12" s="18">
        <f>-(F6-E6)*Assumptions!B11</f>
        <v>-41282081.668365836</v>
      </c>
    </row>
    <row r="13" spans="1:6" x14ac:dyDescent="0.25">
      <c r="A13" s="19" t="s">
        <v>49</v>
      </c>
      <c r="B13" s="20">
        <f>B9+B10+B11+B12</f>
        <v>1720123912.483559</v>
      </c>
      <c r="C13" s="20">
        <f>C9+C10+C11+C12</f>
        <v>1815185471.9019175</v>
      </c>
      <c r="D13" s="20">
        <f>D9+D10+D11+D12</f>
        <v>1915500548.2404625</v>
      </c>
      <c r="E13" s="20">
        <f>E9+E10+E11+E12</f>
        <v>2021359473.7870257</v>
      </c>
      <c r="F13" s="20">
        <f>F9+F10+F11+F12</f>
        <v>2133068625.859583</v>
      </c>
    </row>
    <row r="14" spans="1:6" x14ac:dyDescent="0.25">
      <c r="A14" t="s">
        <v>50</v>
      </c>
      <c r="B14" s="21">
        <f>1/(1+Assumptions!$B$26)^(1-0.5*Assumptions!$B$32)</f>
        <v>0.9676009710412911</v>
      </c>
      <c r="C14" s="21">
        <f>1/(1+Assumptions!$B$26)^(2-0.5*Assumptions!$B$32)</f>
        <v>0.9059179951902642</v>
      </c>
      <c r="D14" s="21">
        <f>1/(1+Assumptions!$B$26)^(3-0.5*Assumptions!$B$32)</f>
        <v>0.8481672079414706</v>
      </c>
      <c r="E14" s="21">
        <f>1/(1+Assumptions!$B$26)^(4-0.5*Assumptions!$B$32)</f>
        <v>0.7940979387170044</v>
      </c>
      <c r="F14" s="21">
        <f>1/(1+Assumptions!$B$26)^(5-0.5*Assumptions!$B$32)</f>
        <v>0.7434754967774116</v>
      </c>
    </row>
    <row r="15" spans="1:6" x14ac:dyDescent="0.25">
      <c r="A15" s="19" t="s">
        <v>51</v>
      </c>
      <c r="B15" s="20">
        <f>B13*B14</f>
        <v>1664393568.0304363</v>
      </c>
      <c r="C15" s="20">
        <f>C13*C14</f>
        <v>1644409183.6038787</v>
      </c>
      <c r="D15" s="20">
        <f>D13*D14</f>
        <v>1624664751.8114693</v>
      </c>
      <c r="E15" s="20">
        <f>E13*E14</f>
        <v>1605157391.5403657</v>
      </c>
      <c r="F15" s="20">
        <f>F13*F14</f>
        <v>1585884256.2712643</v>
      </c>
    </row>
    <row r="17" spans="1:2" x14ac:dyDescent="0.25">
      <c r="A17" s="22" t="s">
        <v>52</v>
      </c>
      <c r="B17" s="23">
        <f>SUM(B15:F15)</f>
        <v>8124509151.257415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2133068625.859583</v>
      </c>
    </row>
    <row r="5" spans="1:2" x14ac:dyDescent="0.25">
      <c r="A5" t="s">
        <v>56</v>
      </c>
      <c r="B5" s="18">
        <f>IF(Assumptions!$B$33=0,B4,B4-Forecast!F11-Forecast!F10-Forecast!F12)</f>
        <v>1955161413.3963811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0.16638304825765207</v>
      </c>
    </row>
    <row r="7" spans="1:2" x14ac:dyDescent="0.25">
      <c r="A7" t="s">
        <v>58</v>
      </c>
      <c r="B7" s="18">
        <f>-MAX(Forecast!F9,0)*B6</f>
        <v>-325305715.7966293</v>
      </c>
    </row>
    <row r="8" spans="1:2" x14ac:dyDescent="0.25">
      <c r="A8" t="s">
        <v>59</v>
      </c>
      <c r="B8" s="18">
        <f>IF(OR(Assumptions!$B$33=0,Assumptions!B12&lt;=0),B5,MAX(B5+B7,0))</f>
        <v>1629855697.599752</v>
      </c>
    </row>
    <row r="9" spans="1:2" x14ac:dyDescent="0.25">
      <c r="A9" t="s">
        <v>60</v>
      </c>
      <c r="B9" s="18">
        <f>B8*(1+Assumptions!B12)/(Assumptions!B26-Assumptions!B12)</f>
        <v>38771038535.57968</v>
      </c>
    </row>
    <row r="10" spans="1:2" x14ac:dyDescent="0.25">
      <c r="A10" t="s">
        <v>61</v>
      </c>
      <c r="B10" s="18">
        <f>B9/(1+Assumptions!B26)^(5-0.5*Assumptions!B32)</f>
        <v>28825317135.816273</v>
      </c>
    </row>
    <row r="11" spans="1:2" x14ac:dyDescent="0.25">
      <c r="A11" t="s">
        <v>62</v>
      </c>
      <c r="B11" s="18">
        <f>Forecast!B17+B10</f>
        <v>36949826287.073685</v>
      </c>
    </row>
    <row r="12" spans="1:2" x14ac:dyDescent="0.25">
      <c r="A12" t="s">
        <v>63</v>
      </c>
      <c r="B12" s="18">
        <f>-Assumptions!B30</f>
        <v>-12173590000</v>
      </c>
    </row>
    <row r="13" spans="1:2" x14ac:dyDescent="0.25">
      <c r="A13" t="s">
        <v>64</v>
      </c>
      <c r="B13" s="18">
        <f>B11+B12</f>
        <v>24776236287.073685</v>
      </c>
    </row>
    <row r="14" spans="1:2" x14ac:dyDescent="0.25">
      <c r="A14" s="19" t="s">
        <v>65</v>
      </c>
      <c r="B14" s="24">
        <f>B13/Assumptions!B31</f>
        <v>326.49715078175774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3473624231.858487</v>
      </c>
    </row>
    <row r="18" spans="1:2" x14ac:dyDescent="0.25">
      <c r="A18" t="s">
        <v>60</v>
      </c>
      <c r="B18" s="18">
        <f>B17*Assumptions!B13</f>
        <v>30460068951.590405</v>
      </c>
    </row>
    <row r="19" spans="1:2" x14ac:dyDescent="0.25">
      <c r="A19" t="s">
        <v>61</v>
      </c>
      <c r="B19" s="18">
        <f>B18/(1+Assumptions!B26)^(5-0.5*Assumptions!B32)</f>
        <v>22646314895.657887</v>
      </c>
    </row>
    <row r="20" spans="1:2" x14ac:dyDescent="0.25">
      <c r="A20" t="s">
        <v>62</v>
      </c>
      <c r="B20" s="18">
        <f>Forecast!B17+B19</f>
        <v>30770824046.915302</v>
      </c>
    </row>
    <row r="21" spans="1:2" x14ac:dyDescent="0.25">
      <c r="A21" t="s">
        <v>63</v>
      </c>
      <c r="B21" s="18">
        <f>-Assumptions!B30</f>
        <v>-12173590000</v>
      </c>
    </row>
    <row r="22" spans="1:2" x14ac:dyDescent="0.25">
      <c r="A22" t="s">
        <v>64</v>
      </c>
      <c r="B22" s="18">
        <f>B20+B21</f>
        <v>18597234046.915302</v>
      </c>
    </row>
    <row r="23" spans="1:2" x14ac:dyDescent="0.25">
      <c r="A23" s="19" t="s">
        <v>65</v>
      </c>
      <c r="B23" s="25">
        <f>B22/Assumptions!B31</f>
        <v>245.07127952711738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183.86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326.49715078175774</v>
      </c>
    </row>
    <row r="29" spans="1:2" x14ac:dyDescent="0.25">
      <c r="A29" s="19" t="s">
        <v>73</v>
      </c>
      <c r="B29" s="12">
        <f>B28/B26-1</f>
        <v>0.7757921830836381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0.048089</v>
      </c>
      <c r="B5" s="31">
        <v>527.7048088529713</v>
      </c>
      <c r="C5" s="31">
        <v>608.3567710686414</v>
      </c>
      <c r="D5" s="31">
        <v>723.6390503046969</v>
      </c>
      <c r="E5" s="31">
        <v>902.2682563961624</v>
      </c>
      <c r="F5" s="31">
        <v>1216.8399965575825</v>
      </c>
    </row>
    <row r="6" spans="1:6" x14ac:dyDescent="0.25">
      <c r="A6" s="30">
        <v>0.058089</v>
      </c>
      <c r="B6" s="31">
        <v>372.91577714012533</v>
      </c>
      <c r="C6" s="31">
        <v>413.09431978216566</v>
      </c>
      <c r="D6" s="31">
        <v>465.2144597858559</v>
      </c>
      <c r="E6" s="31">
        <v>535.6532116559758</v>
      </c>
      <c r="F6" s="31">
        <v>636.3114449839518</v>
      </c>
    </row>
    <row r="7" spans="1:6" x14ac:dyDescent="0.25">
      <c r="A7" s="30">
        <v>0.068089</v>
      </c>
      <c r="B7" s="31">
        <v>276.3117659494378</v>
      </c>
      <c r="C7" s="31">
        <v>298.8613567404309</v>
      </c>
      <c r="D7" s="32">
        <v>326.4962735174773</v>
      </c>
      <c r="E7" s="31">
        <v>361.2191913256243</v>
      </c>
      <c r="F7" s="31">
        <v>406.243263039438</v>
      </c>
    </row>
    <row r="8" spans="1:6" x14ac:dyDescent="0.25">
      <c r="A8" s="30">
        <v>0.078089</v>
      </c>
      <c r="B8" s="31">
        <v>210.2312556793035</v>
      </c>
      <c r="C8" s="31">
        <v>223.81919491904293</v>
      </c>
      <c r="D8" s="31">
        <v>239.85146117080455</v>
      </c>
      <c r="E8" s="31">
        <v>259.0904929377874</v>
      </c>
      <c r="F8" s="31">
        <v>282.6526188126329</v>
      </c>
    </row>
    <row r="9" spans="1:6" x14ac:dyDescent="0.25">
      <c r="A9" s="30">
        <v>0.088089</v>
      </c>
      <c r="B9" s="31">
        <v>162.15086985217164</v>
      </c>
      <c r="C9" s="31">
        <v>170.70744252862855</v>
      </c>
      <c r="D9" s="31">
        <v>180.52734115962963</v>
      </c>
      <c r="E9" s="31">
        <v>191.936787393304</v>
      </c>
      <c r="F9" s="31">
        <v>205.38489901375183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13643069000</v>
      </c>
      <c r="C5" s="18">
        <v>12815550000</v>
      </c>
      <c r="D5" s="18">
        <v>12140147000</v>
      </c>
      <c r="E5" s="18">
        <v>11609894000</v>
      </c>
      <c r="F5" s="8" t="s">
        <v>84</v>
      </c>
    </row>
    <row r="6" spans="1:6" x14ac:dyDescent="0.25">
      <c r="A6" t="s">
        <v>44</v>
      </c>
      <c r="B6" s="18">
        <v>2010615000</v>
      </c>
      <c r="C6" s="18">
        <v>1954828000</v>
      </c>
      <c r="D6" s="18">
        <v>1601003000</v>
      </c>
      <c r="E6" s="18">
        <v>1312542000</v>
      </c>
      <c r="F6" s="8" t="s">
        <v>85</v>
      </c>
    </row>
    <row r="7" spans="1:6" x14ac:dyDescent="0.25">
      <c r="A7" t="s">
        <v>86</v>
      </c>
      <c r="B7" s="18">
        <v>715348000</v>
      </c>
      <c r="C7" s="18">
        <v>723860000</v>
      </c>
      <c r="D7" s="18">
        <v>745443000</v>
      </c>
      <c r="E7" s="18">
        <v>732602000</v>
      </c>
      <c r="F7" s="8" t="s">
        <v>87</v>
      </c>
    </row>
    <row r="8" spans="1:6" x14ac:dyDescent="0.25">
      <c r="A8" t="s">
        <v>88</v>
      </c>
      <c r="B8" s="18">
        <v>575864000</v>
      </c>
      <c r="C8" s="18">
        <v>555443000</v>
      </c>
      <c r="D8" s="18">
        <v>567985000</v>
      </c>
      <c r="E8" s="18">
        <v>603429000</v>
      </c>
      <c r="F8" s="8" t="s">
        <v>89</v>
      </c>
    </row>
    <row r="9" spans="1:6" x14ac:dyDescent="0.25">
      <c r="A9" t="s">
        <v>90</v>
      </c>
      <c r="B9" s="18">
        <v>263241000</v>
      </c>
      <c r="C9" s="18">
        <v>29821000</v>
      </c>
      <c r="D9" s="18">
        <v>-194535000</v>
      </c>
      <c r="E9" s="18">
        <v>-101000</v>
      </c>
      <c r="F9" s="8" t="s">
        <v>91</v>
      </c>
    </row>
    <row r="10" spans="1:6" x14ac:dyDescent="0.25">
      <c r="A10" t="s">
        <v>92</v>
      </c>
      <c r="B10" s="18">
        <v>12874331000</v>
      </c>
      <c r="C10" s="18">
        <v>12066836000</v>
      </c>
      <c r="D10" s="18">
        <v>11116421000</v>
      </c>
      <c r="E10" s="18">
        <v>11822490000</v>
      </c>
      <c r="F10" s="8" t="s">
        <v>93</v>
      </c>
    </row>
    <row r="11" spans="1:6" x14ac:dyDescent="0.25">
      <c r="A11" t="s">
        <v>94</v>
      </c>
      <c r="B11" s="18">
        <v>700741000</v>
      </c>
      <c r="C11" s="18">
        <v>845997000</v>
      </c>
      <c r="D11" s="18">
        <v>391673000</v>
      </c>
      <c r="E11" s="18">
        <v>321779000</v>
      </c>
      <c r="F11" s="8" t="s">
        <v>95</v>
      </c>
    </row>
    <row r="12" spans="1:6" x14ac:dyDescent="0.25">
      <c r="A12" t="s">
        <v>32</v>
      </c>
      <c r="B12" s="34">
        <v>75885000</v>
      </c>
      <c r="C12" s="34">
        <v>87274000</v>
      </c>
      <c r="D12" s="34">
        <v>93182000</v>
      </c>
      <c r="E12" s="34">
        <v>95834000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