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<sst xmlns="http://schemas.openxmlformats.org/spreadsheetml/2006/main" count="120" uniqueCount="107">
  <si>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Devon Energy Corporation (DVN)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</si>
  <si>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</si>
  <si>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</si>
  <si>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</si>
  <si>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</si>
  <si>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</si>
  <si>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</si>
  <si>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</si>
  <si>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</si>
  <si>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</si>
  <si>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</si>
  <si>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</si>
  <si>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</si>
  <si>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</si>
  <si>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</si>
  <si>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</si>
  <si>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</si>
  <si>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</si>
  <si>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</si>
  <si>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</si>
  <si>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</si>
  <si>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</si>
  <si>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</si>
  <si>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</si>
  <si>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</si>
  <si>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</si>
  <si>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</si>
  <si>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</si>
  <si>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</si>
  <si>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</si>
  <si>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</si>
  <si>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</si>
  <si>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</si>
  <si>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</si>
  <si>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</si>
  <si>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</si>
  <si>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</si>
  <si>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</si>
  <si>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</si>
  <si>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</si>
  <si>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</si>
  <si>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</si>
  <si>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</si>
  <si>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</si>
  <si>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</si>
  <si>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</si>
  <si>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</si>
  <si>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</si>
  <si>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</si>
  <si>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</si>
  <si>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</si>
  <si>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</si>
  <si>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</si>
  <si>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</si>
  <si>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</si>
  <si>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</si>
  <si>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</si>
  <si>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</si>
  <si>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</si>
  <si>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</si>
  <si>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</si>
  <si>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</si>
  <si>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</si>
  <si>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</si>
  <si>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</si>
  <si>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</si>
  <si>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</si>
  <si>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</si>
  <si>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</si>
  <si>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</si>
  <si>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</si>
  <si>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</si>
  <si>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</si>
  <si>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</si>
  <si>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</si>
  <si>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</si>
  <si>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</si>
  <si>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</si>
  <si>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</si>
  <si>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</si>
  <si>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</si>
  <si>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</si>
  <si>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</si>
  <si>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</si>
  <si>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</si>
  <si>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</si>
  <si>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</si>
  <si>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</si>
  <si>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</si>
  <si>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</si>
  <si>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</si>
  <si>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</si>
  <si>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</si>
  <si>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</si>
  <si>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</si>
  <si>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</si>
  <si>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</si>
  <si>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</si>
  <si>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</si>
  <si>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</si>
  <si>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</si>
  <si>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</si>
  <si>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</si>
  <si>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</si>
  <si>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</si>
  <si>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30.5% of revenue against depreciation of 17.4%.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</si>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</sst>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0.4829497341168256</v>
      </c>
    </row>
    <row r="7" spans="1:2" x14ac:dyDescent="0.25">
      <c r="A7" t="s">
        <v>4</v>
      </c>
      <c r="B7" s="5">
        <v>0.30589188651947075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0.1741792261884202</v>
      </c>
    </row>
    <row r="10" spans="1:3" x14ac:dyDescent="0.25">
      <c r="A10" t="s">
        <v>7</v>
      </c>
      <c r="B10" s="5">
        <v>0.30533140231988654</v>
      </c>
      <c r="C10" s="6" t="s">
        <v>8</v>
      </c>
    </row>
    <row r="11" spans="1:2" x14ac:dyDescent="0.25">
      <c r="A11" t="s">
        <v>9</v>
      </c>
      <c r="B11" s="5">
        <v>0.07372391972341494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8.658837765669038</v>
      </c>
    </row>
    <row r="14" spans="1:3" x14ac:dyDescent="0.25">
      <c r="A14" t="s">
        <v>12</v>
      </c>
      <c r="B14" s="5">
        <v>0.17775542982337053</v>
      </c>
      <c r="C14" s="6" t="s">
        <v>13</v>
      </c>
    </row>
    <row r="15" spans="1:3" x14ac:dyDescent="0.25">
      <c r="A15" t="s">
        <v>14</v>
      </c>
      <c r="B15" s="5">
        <v>0.1741792261884202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0.68912</v>
      </c>
      <c r="C19" s="6" t="s">
        <v>21</v>
      </c>
    </row>
    <row r="20" spans="1:2" x14ac:dyDescent="0.25">
      <c r="A20" t="s">
        <v>22</v>
      </c>
      <c r="B20" s="9">
        <f>B17+B19*B18</f>
        <v>0.078089776</v>
      </c>
    </row>
    <row r="21" spans="1:3" x14ac:dyDescent="0.25">
      <c r="A21" t="s">
        <v>23</v>
      </c>
      <c r="B21" s="5">
        <v>0.055877227500140535</v>
      </c>
      <c r="C21" s="6" t="s">
        <v>24</v>
      </c>
    </row>
    <row r="22" spans="1:2" x14ac:dyDescent="0.25">
      <c r="A22" t="s">
        <v>25</v>
      </c>
      <c r="B22" s="10">
        <v>57365000192</v>
      </c>
    </row>
    <row r="23" spans="1:2" x14ac:dyDescent="0.25">
      <c r="A23" t="s">
        <v>26</v>
      </c>
      <c r="B23" s="10">
        <v>8586000000</v>
      </c>
    </row>
    <row r="24" spans="1:2" x14ac:dyDescent="0.25">
      <c r="A24" t="s">
        <v>27</v>
      </c>
      <c r="B24" s="9">
        <f>B22/(B22+B23)</f>
        <v>0.8698124368848996</v>
      </c>
    </row>
    <row r="25" spans="1:2" x14ac:dyDescent="0.25">
      <c r="A25" t="s">
        <v>28</v>
      </c>
      <c r="B25" s="9">
        <f>1-B24</f>
        <v>0.13018756311510038</v>
      </c>
    </row>
    <row r="26" spans="1:2" x14ac:dyDescent="0.25">
      <c r="A26" t="s">
        <v>29</v>
      </c>
      <c r="B26" s="11">
        <f>B24*B20+B25*B21*(1-B8)</f>
        <v>0.07367032922303433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17188000000</v>
      </c>
      <c r="C29" s="6" t="s">
        <v>32</v>
      </c>
    </row>
    <row r="30" spans="1:2" x14ac:dyDescent="0.25">
      <c r="A30" t="s">
        <v>33</v>
      </c>
      <c r="B30" s="10">
        <v>7152000000</v>
      </c>
    </row>
    <row r="31" spans="1:2" x14ac:dyDescent="0.25">
      <c r="A31" t="s">
        <v>34</v>
      </c>
      <c r="B31" s="12">
        <v>633000000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0.4829497341168256</v>
      </c>
      <c r="C5" s="5">
        <v>0.038599857382927816</v>
      </c>
      <c r="D5" s="5">
        <v>0.03689987521006184</v>
      </c>
      <c r="E5" s="5">
        <v>0.03519989303719586</v>
      </c>
      <c r="F5" s="5">
        <v>0.033499910864329886</v>
      </c>
      <c r="G5" s="5">
        <v>0.031799928691463905</v>
      </c>
      <c r="H5" s="5">
        <v>0.03009994651859793</v>
      </c>
      <c r="I5" s="5">
        <v>0.028399964345731957</v>
      </c>
      <c r="J5" s="5">
        <v>0.02669998217286598</v>
      </c>
      <c r="K5" s="5">
        <v>0.025</v>
      </c>
    </row>
    <row r="6" spans="1:11" x14ac:dyDescent="0.25">
      <c r="A6" t="s">
        <v>50</v>
      </c>
      <c r="B6" s="18">
        <f>Assumptions!B29*(1+B5)</f>
        <v>25488940030</v>
      </c>
      <c r="C6" s="18">
        <f>B6*(1+C5)</f>
        <v>26472809480</v>
      </c>
      <c r="D6" s="18">
        <f>C6*(1+D5)</f>
        <v>27449652846.27174</v>
      </c>
      <c r="E6" s="18">
        <f>D6*(1+E5)</f>
        <v>28415877690.368668</v>
      </c>
      <c r="F6" s="18">
        <f>E6*(1+F5)</f>
        <v>29367807060.12772</v>
      </c>
      <c r="G6" s="18">
        <f>F6*(1+G5)</f>
        <v>30301701230.46445</v>
      </c>
      <c r="H6" s="18">
        <f>G6*(1+H5)</f>
        <v>31213780816.923965</v>
      </c>
      <c r="I6" s="18">
        <f>H6*(1+I5)</f>
        <v>32100251079.2201</v>
      </c>
      <c r="J6" s="18">
        <f>I6*(1+J5)</f>
        <v>32957327210.779797</v>
      </c>
      <c r="K6" s="18">
        <f>J6*(1+K5)</f>
        <v>33781260391.04929</v>
      </c>
    </row>
    <row r="7" spans="1:11" x14ac:dyDescent="0.25">
      <c r="A7" t="s">
        <v>4</v>
      </c>
      <c r="B7" s="9">
        <f>Assumptions!B7</f>
        <v>0.30589188651947075</v>
      </c>
      <c r="C7" s="9">
        <f>Assumptions!B7</f>
        <v>0.30589188651947075</v>
      </c>
      <c r="D7" s="9">
        <f>Assumptions!B7</f>
        <v>0.30589188651947075</v>
      </c>
      <c r="E7" s="9">
        <f>Assumptions!B7</f>
        <v>0.30589188651947075</v>
      </c>
      <c r="F7" s="9">
        <f>Assumptions!B7</f>
        <v>0.30589188651947075</v>
      </c>
      <c r="G7" s="9">
        <f>Assumptions!B7</f>
        <v>0.30589188651947075</v>
      </c>
      <c r="H7" s="9">
        <f>Assumptions!B7</f>
        <v>0.30589188651947075</v>
      </c>
      <c r="I7" s="9">
        <f>Assumptions!B7</f>
        <v>0.30589188651947075</v>
      </c>
      <c r="J7" s="9">
        <f>Assumptions!B7</f>
        <v>0.30589188651947075</v>
      </c>
      <c r="K7" s="9">
        <f>Assumptions!B7</f>
        <v>0.30589188651947075</v>
      </c>
    </row>
    <row r="8" spans="1:11" x14ac:dyDescent="0.25">
      <c r="A8" t="s">
        <v>51</v>
      </c>
      <c r="B8" s="18">
        <f>B6*B7</f>
        <v>7796859951.158356</v>
      </c>
      <c r="C8" s="18">
        <f>C6*C7</f>
        <v>8097817633.30773</v>
      </c>
      <c r="D8" s="18">
        <f>D6*D7</f>
        <v>8396626093.450623</v>
      </c>
      <c r="E8" s="18">
        <f>E6*E7</f>
        <v>8692186433.813414</v>
      </c>
      <c r="F8" s="18">
        <f>F6*F7</f>
        <v>8983373904.5623</v>
      </c>
      <c r="G8" s="18">
        <f>G6*G7</f>
        <v>9269044554.136139</v>
      </c>
      <c r="H8" s="18">
        <f>H6*H7</f>
        <v>9548042299.494139</v>
      </c>
      <c r="I8" s="18">
        <f>I6*I7</f>
        <v>9819206360.371313</v>
      </c>
      <c r="J8" s="18">
        <f>J6*J7</f>
        <v>10081378995.144918</v>
      </c>
      <c r="K8" s="18">
        <f>K6*K7</f>
        <v>10333413470.02354</v>
      </c>
    </row>
    <row r="9" spans="1:11" x14ac:dyDescent="0.25">
      <c r="A9" t="s">
        <v>52</v>
      </c>
      <c r="B9" s="18">
        <f>B8*(1-Assumptions!B8)</f>
        <v>6159519361.415101</v>
      </c>
      <c r="C9" s="18">
        <f>C8*(1-Assumptions!B8)</f>
        <v>6397275930.313107</v>
      </c>
      <c r="D9" s="18">
        <f>D8*(1-Assumptions!B8)</f>
        <v>6633334613.825993</v>
      </c>
      <c r="E9" s="18">
        <f>E8*(1-Assumptions!B8)</f>
        <v>6866827282.712597</v>
      </c>
      <c r="F9" s="18">
        <f>F8*(1-Assumptions!B8)</f>
        <v>7096865384.604218</v>
      </c>
      <c r="G9" s="18">
        <f>G8*(1-Assumptions!B8)</f>
        <v>7322545197.76755</v>
      </c>
      <c r="H9" s="18">
        <f>H8*(1-Assumptions!B8)</f>
        <v>7542953416.600369</v>
      </c>
      <c r="I9" s="18">
        <f>I8*(1-Assumptions!B8)</f>
        <v>7757173024.693337</v>
      </c>
      <c r="J9" s="18">
        <f>J8*(1-Assumptions!B8)</f>
        <v>7964289406.164486</v>
      </c>
      <c r="K9" s="18">
        <f>K8*(1-Assumptions!B8)</f>
        <v>8163396641.318598</v>
      </c>
    </row>
    <row r="10" spans="1:11" x14ac:dyDescent="0.25">
      <c r="A10" t="s">
        <v>53</v>
      </c>
      <c r="B10" s="18">
        <f>B6*Assumptions!B9</f>
        <v>4439643850.788447</v>
      </c>
      <c r="C10" s="18">
        <f>C6*Assumptions!B9</f>
        <v>4611013470.259874</v>
      </c>
      <c r="D10" s="18">
        <f>D6*Assumptions!B9</f>
        <v>4781159291.904377</v>
      </c>
      <c r="E10" s="18">
        <f>E6*Assumptions!B9</f>
        <v>4949455587.573207</v>
      </c>
      <c r="F10" s="18">
        <f>F6*Assumptions!B9</f>
        <v>5115261908.583869</v>
      </c>
      <c r="G10" s="18">
        <f>G6*Assumptions!B9</f>
        <v>5277926872.5149975</v>
      </c>
      <c r="H10" s="18">
        <f>H6*Assumptions!B9</f>
        <v>5436792189.1067705</v>
      </c>
      <c r="I10" s="18">
        <f>I6*Assumptions!B9</f>
        <v>5591196893.432557</v>
      </c>
      <c r="J10" s="18">
        <f>J6*Assumptions!B9</f>
        <v>5740481750.81219</v>
      </c>
      <c r="K10" s="18">
        <f>K6*Assumptions!B9</f>
        <v>5883993794.582494</v>
      </c>
    </row>
    <row r="11" spans="1:11" x14ac:dyDescent="0.25">
      <c r="A11" t="s">
        <v>54</v>
      </c>
      <c r="B11" s="18">
        <f>-B6*B19</f>
        <v>-7782573803.007391</v>
      </c>
      <c r="C11" s="18">
        <f>-C6*C19</f>
        <v>-7797175981.727432</v>
      </c>
      <c r="D11" s="18">
        <f>-D6*D19</f>
        <v>-7788540608.141913</v>
      </c>
      <c r="E11" s="18">
        <f>-E6*E19</f>
        <v>-7755914715.021227</v>
      </c>
      <c r="F11" s="18">
        <f>-F6*F19</f>
        <v>-7698678317.951491</v>
      </c>
      <c r="G11" s="18">
        <f>-G6*G19</f>
        <v>-7616354442.0071</v>
      </c>
      <c r="H11" s="18">
        <f>-H6*H19</f>
        <v>-7508618070.346445</v>
      </c>
      <c r="I11" s="18">
        <f>-I6*I19</f>
        <v>-7375303868.995217</v>
      </c>
      <c r="J11" s="18">
        <f>-J6*J19</f>
        <v>-7216412553.221731</v>
      </c>
      <c r="K11" s="18">
        <f>-K6*K19</f>
        <v>-7032115774.517268</v>
      </c>
    </row>
    <row r="12" spans="1:11" x14ac:dyDescent="0.25">
      <c r="A12" t="s">
        <v>55</v>
      </c>
      <c r="B12" s="18">
        <f>-(B6-Assumptions!B29)*Assumptions!B11</f>
        <v>-611977836.4006016</v>
      </c>
      <c r="C12" s="18">
        <f>-(C6-B6)*Assumptions!B11</f>
        <v>-72534712.35012041</v>
      </c>
      <c r="D12" s="18">
        <f>-(D6-C6)*Assumptions!B11</f>
        <v>-72016721.91736817</v>
      </c>
      <c r="E12" s="18">
        <f>-(E6-D6)*Assumptions!B11</f>
        <v>-71233882.84097101</v>
      </c>
      <c r="F12" s="18">
        <f>-(F6-E6)*Assumptions!B11</f>
        <v>-70179964.43847735</v>
      </c>
      <c r="G12" s="18">
        <f>-(G6-F6)*Assumptions!B11</f>
        <v>-68850338.84407035</v>
      </c>
      <c r="H12" s="18">
        <f>-(H6-G6)*Assumptions!B11</f>
        <v>-67242082.21350674</v>
      </c>
      <c r="I12" s="18">
        <f>-(I6-H6)*Assumptions!B11</f>
        <v>-65354062.454714835</v>
      </c>
      <c r="J12" s="18">
        <f>-(J6-I6)*Assumptions!B11</f>
        <v>-63187011.91996206</v>
      </c>
      <c r="K12" s="18">
        <f>-(K6-J6)*Assumptions!B11</f>
        <v>-60743583.639646076</v>
      </c>
    </row>
    <row r="13" spans="1:11" x14ac:dyDescent="0.25">
      <c r="A13" s="19" t="s">
        <v>56</v>
      </c>
      <c r="B13" s="20">
        <f>B9+B10+B11+B12</f>
        <v>2204611572.795556</v>
      </c>
      <c r="C13" s="20">
        <f>C9+C10+C11+C12</f>
        <v>3138578706.495428</v>
      </c>
      <c r="D13" s="20">
        <f>D9+D10+D11+D12</f>
        <v>3553936575.671088</v>
      </c>
      <c r="E13" s="20">
        <f>E9+E10+E11+E12</f>
        <v>3989134272.423607</v>
      </c>
      <c r="F13" s="20">
        <f>F9+F10+F11+F12</f>
        <v>4443269010.798119</v>
      </c>
      <c r="G13" s="20">
        <f>G9+G10+G11+G12</f>
        <v>4915267289.431376</v>
      </c>
      <c r="H13" s="20">
        <f>H9+H10+H11+H12</f>
        <v>5403885453.147188</v>
      </c>
      <c r="I13" s="20">
        <f>I9+I10+I11+I12</f>
        <v>5907711986.675962</v>
      </c>
      <c r="J13" s="20">
        <f>J9+J10+J11+J12</f>
        <v>6425171591.834984</v>
      </c>
      <c r="K13" s="20">
        <f>K9+K10+K11+K12</f>
        <v>6954531077.744178</v>
      </c>
    </row>
    <row r="14" spans="1:11" x14ac:dyDescent="0.25">
      <c r="A14" t="s">
        <v>57</v>
      </c>
      <c r="B14" s="21">
        <f>1/(1+Assumptions!$B$26)^(1-0.5*Assumptions!$B$32)</f>
        <v>0.9650826858766035</v>
      </c>
      <c r="C14" s="21">
        <f>1/(1+Assumptions!$B$26)^(2-0.5*Assumptions!$B$32)</f>
        <v>0.898863142259868</v>
      </c>
      <c r="D14" s="21">
        <f>1/(1+Assumptions!$B$26)^(3-0.5*Assumptions!$B$32)</f>
        <v>0.8371872797400797</v>
      </c>
      <c r="E14" s="21">
        <f>1/(1+Assumptions!$B$26)^(4-0.5*Assumptions!$B$32)</f>
        <v>0.7797433317784925</v>
      </c>
      <c r="F14" s="21">
        <f>1/(1+Assumptions!$B$26)^(5-0.5*Assumptions!$B$32)</f>
        <v>0.7262409238250598</v>
      </c>
      <c r="G14" s="21">
        <f>1/(1+Assumptions!$B$26)^(6-0.5*Assumptions!$B$32)</f>
        <v>0.676409605498372</v>
      </c>
      <c r="H14" s="21">
        <f>1/(1+Assumptions!$B$26)^(7-0.5*Assumptions!$B$32)</f>
        <v>0.629997483480668</v>
      </c>
      <c r="I14" s="21">
        <f>1/(1+Assumptions!$B$26)^(8-0.5*Assumptions!$B$32)</f>
        <v>0.5867699482173157</v>
      </c>
      <c r="J14" s="21">
        <f>1/(1+Assumptions!$B$26)^(9-0.5*Assumptions!$B$32)</f>
        <v>0.5465084879843275</v>
      </c>
      <c r="K14" s="21">
        <f>1/(1+Assumptions!$B$26)^(10-0.5*Assumptions!$B$32)</f>
        <v>0.5090095843291214</v>
      </c>
    </row>
    <row r="15" spans="1:11" x14ac:dyDescent="0.25">
      <c r="A15" s="19" t="s">
        <v>58</v>
      </c>
      <c r="B15" s="20">
        <f>B13*B14</f>
        <v>2127632457.9881785</v>
      </c>
      <c r="C15" s="20">
        <f>C13*C14</f>
        <v>2821152718.3503923</v>
      </c>
      <c r="D15" s="20">
        <f>D13*D14</f>
        <v>2975310494.1548524</v>
      </c>
      <c r="E15" s="20">
        <f>E13*E14</f>
        <v>3110500848.491356</v>
      </c>
      <c r="F15" s="20">
        <f>F13*F14</f>
        <v>3226883791.205285</v>
      </c>
      <c r="G15" s="20">
        <f>G13*G14</f>
        <v>3324734008.1633296</v>
      </c>
      <c r="H15" s="20">
        <f>H13*H14</f>
        <v>3404434236.500518</v>
      </c>
      <c r="I15" s="20">
        <f>I13*I14</f>
        <v>3466467856.5046697</v>
      </c>
      <c r="J15" s="20">
        <f>J13*J14</f>
        <v>3511410811.6935916</v>
      </c>
      <c r="K15" s="20">
        <f>K13*K14</f>
        <v>3539922973.08652</v>
      </c>
    </row>
    <row r="17" spans="1:2" x14ac:dyDescent="0.25">
      <c r="A17" s="22" t="s">
        <v>59</v>
      </c>
      <c r="B17" s="23">
        <f>SUM(B15:K15)</f>
        <v>31508450196.138695</v>
      </c>
    </row>
    <row r="19" spans="1:11" x14ac:dyDescent="0.25">
      <c r="A19" t="s">
        <v>7</v>
      </c>
      <c r="B19" s="9">
        <f>Assumptions!$B$10+($B$20-Assumptions!$B$10)*0/9</f>
        <v>0.30533140231988654</v>
      </c>
      <c r="C19" s="9">
        <f>Assumptions!$B$10+($B$20-Assumptions!$B$10)*1/9</f>
        <v>0.294535265991248</v>
      </c>
      <c r="D19" s="9">
        <f>Assumptions!$B$10+($B$20-Assumptions!$B$10)*2/9</f>
        <v>0.28373912966260945</v>
      </c>
      <c r="E19" s="9">
        <f>Assumptions!$B$10+($B$20-Assumptions!$B$10)*3/9</f>
        <v>0.2729429933339709</v>
      </c>
      <c r="F19" s="9">
        <f>Assumptions!$B$10+($B$20-Assumptions!$B$10)*4/9</f>
        <v>0.26214685700533236</v>
      </c>
      <c r="G19" s="9">
        <f>Assumptions!$B$10+($B$20-Assumptions!$B$10)*5/9</f>
        <v>0.25135072067669384</v>
      </c>
      <c r="H19" s="9">
        <f>Assumptions!$B$10+($B$20-Assumptions!$B$10)*6/9</f>
        <v>0.24055458434805527</v>
      </c>
      <c r="I19" s="9">
        <f>Assumptions!$B$10+($B$20-Assumptions!$B$10)*7/9</f>
        <v>0.22975844801941672</v>
      </c>
      <c r="J19" s="9">
        <f>Assumptions!$B$10+($B$20-Assumptions!$B$10)*8/9</f>
        <v>0.21896231169077818</v>
      </c>
      <c r="K19" s="9">
        <f>Assumptions!$B$10+($B$20-Assumptions!$B$10)*9/9</f>
        <v>0.20816617536213963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0.20816617536213963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6954531077.744178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8163396641.318598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0.14064267980360232</v>
      </c>
    </row>
    <row r="7" spans="1:2" x14ac:dyDescent="0.25">
      <c r="A7" t="s">
        <v>66</v>
      </c>
      <c r="B7" s="18">
        <f>-MAX(B5,0)*B6</f>
        <v>-1148121979.9347742</v>
      </c>
    </row>
    <row r="8" spans="1:2" x14ac:dyDescent="0.25">
      <c r="A8" t="s">
        <v>67</v>
      </c>
      <c r="B8" s="18">
        <f>IF(OR(Assumptions!$B$33=0,Assumptions!B12&lt;=0),B5,MAX(B5+B7,0))</f>
        <v>7015274661.383823</v>
      </c>
    </row>
    <row r="9" spans="1:2" x14ac:dyDescent="0.25">
      <c r="A9" t="s">
        <v>68</v>
      </c>
      <c r="B9" s="18">
        <f>B8*(1+Assumptions!B12)/(Assumptions!B26-Assumptions!B12)</f>
        <v>147742097551.1971</v>
      </c>
    </row>
    <row r="10" spans="1:2" x14ac:dyDescent="0.25">
      <c r="A10" t="s">
        <v>69</v>
      </c>
      <c r="B10" s="18">
        <f>B9/(1+Assumptions!B26)^(10-0.5*Assumptions!B32)</f>
        <v>75202143662.44734</v>
      </c>
    </row>
    <row r="11" spans="1:2" x14ac:dyDescent="0.25">
      <c r="A11" t="s">
        <v>70</v>
      </c>
      <c r="B11" s="18">
        <f>Forecast!B17+B10</f>
        <v>106710593858.58603</v>
      </c>
    </row>
    <row r="12" spans="1:2" x14ac:dyDescent="0.25">
      <c r="A12" t="s">
        <v>71</v>
      </c>
      <c r="B12" s="18">
        <f>-Assumptions!B30</f>
        <v>-7152000000</v>
      </c>
    </row>
    <row r="13" spans="1:2" x14ac:dyDescent="0.25">
      <c r="A13" t="s">
        <v>72</v>
      </c>
      <c r="B13" s="18">
        <f>B11+B12</f>
        <v>99558593858.58603</v>
      </c>
    </row>
    <row r="14" spans="1:2" x14ac:dyDescent="0.25">
      <c r="A14" s="19" t="s">
        <v>73</v>
      </c>
      <c r="B14" s="24">
        <f>B13/Assumptions!B31</f>
        <v>157.28055901830336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16217407264.606033</v>
      </c>
    </row>
    <row r="18" spans="1:2" x14ac:dyDescent="0.25">
      <c r="A18" t="s">
        <v>68</v>
      </c>
      <c r="B18" s="18">
        <f>B17*Assumptions!B13</f>
        <v>140423898484.00613</v>
      </c>
    </row>
    <row r="19" spans="1:2" x14ac:dyDescent="0.25">
      <c r="A19" t="s">
        <v>69</v>
      </c>
      <c r="B19" s="18">
        <f>B18/(1+Assumptions!B26)^(10-0.5*Assumptions!B32)</f>
        <v>71477110197.2187</v>
      </c>
    </row>
    <row r="20" spans="1:2" x14ac:dyDescent="0.25">
      <c r="A20" t="s">
        <v>70</v>
      </c>
      <c r="B20" s="18">
        <f>Forecast!B17+B19</f>
        <v>102985560393.35739</v>
      </c>
    </row>
    <row r="21" spans="1:2" x14ac:dyDescent="0.25">
      <c r="A21" t="s">
        <v>71</v>
      </c>
      <c r="B21" s="18">
        <f>-Assumptions!B30</f>
        <v>-7152000000</v>
      </c>
    </row>
    <row r="22" spans="1:2" x14ac:dyDescent="0.25">
      <c r="A22" t="s">
        <v>72</v>
      </c>
      <c r="B22" s="18">
        <f>B20+B21</f>
        <v>95833560393.35739</v>
      </c>
    </row>
    <row r="23" spans="1:2" x14ac:dyDescent="0.25">
      <c r="A23" s="19" t="s">
        <v>73</v>
      </c>
      <c r="B23" s="25">
        <f>B22/Assumptions!B31</f>
        <v>151.39583000530394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52.15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157.28055901830336</v>
      </c>
    </row>
    <row r="29" spans="1:2" x14ac:dyDescent="0.25">
      <c r="A29" s="19" t="s">
        <v>81</v>
      </c>
      <c r="B29" s="11">
        <f>B28/B26-1</f>
        <v>2.0159263474267184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0.05367</v>
      </c>
      <c r="B5" s="31">
        <v>234.78040292730086</v>
      </c>
      <c r="C5" s="31">
        <v>255.98880288305133</v>
      </c>
      <c r="D5" s="31">
        <v>284.9293639945862</v>
      </c>
      <c r="E5" s="31">
        <v>326.50206164579913</v>
      </c>
      <c r="F5" s="31">
        <v>390.85590751827397</v>
      </c>
    </row>
    <row r="6" spans="1:6" x14ac:dyDescent="0.25">
      <c r="A6" s="30">
        <v>0.06367</v>
      </c>
      <c r="B6" s="31">
        <v>180.25838612210168</v>
      </c>
      <c r="C6" s="31">
        <v>190.87444131973373</v>
      </c>
      <c r="D6" s="31">
        <v>204.47015884855944</v>
      </c>
      <c r="E6" s="31">
        <v>222.37297960456686</v>
      </c>
      <c r="F6" s="31">
        <v>246.83635836305123</v>
      </c>
    </row>
    <row r="7" spans="1:6" x14ac:dyDescent="0.25">
      <c r="A7" s="30">
        <v>0.07367</v>
      </c>
      <c r="B7" s="31">
        <v>144.5421442071205</v>
      </c>
      <c r="C7" s="31">
        <v>150.2387374515146</v>
      </c>
      <c r="D7" s="32">
        <v>157.2817901206525</v>
      </c>
      <c r="E7" s="31">
        <v>166.1337911399101</v>
      </c>
      <c r="F7" s="31">
        <v>177.49642722384093</v>
      </c>
    </row>
    <row r="8" spans="1:6" x14ac:dyDescent="0.25">
      <c r="A8" s="30">
        <v>0.08367</v>
      </c>
      <c r="B8" s="31">
        <v>119.40144036823254</v>
      </c>
      <c r="C8" s="31">
        <v>122.53390736764189</v>
      </c>
      <c r="D8" s="31">
        <v>126.33841227961763</v>
      </c>
      <c r="E8" s="31">
        <v>131.0027801216462</v>
      </c>
      <c r="F8" s="31">
        <v>136.7920189880524</v>
      </c>
    </row>
    <row r="9" spans="1:6" x14ac:dyDescent="0.25">
      <c r="A9" s="30">
        <v>0.09367</v>
      </c>
      <c r="B9" s="31">
        <v>100.79185343447234</v>
      </c>
      <c r="C9" s="31">
        <v>102.48324471354775</v>
      </c>
      <c r="D9" s="31">
        <v>104.53267855266755</v>
      </c>
      <c r="E9" s="31">
        <v>107.02450611251457</v>
      </c>
      <c r="F9" s="31">
        <v>110.07183299750166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17188000000</v>
      </c>
      <c r="C5" s="18">
        <v>15940000000</v>
      </c>
      <c r="D5" s="18">
        <v>15258000000</v>
      </c>
      <c r="E5" s="18">
        <v>19169000000</v>
      </c>
      <c r="F5" s="6" t="s">
        <v>91</v>
      </c>
    </row>
    <row r="6" spans="1:6" x14ac:dyDescent="0.25">
      <c r="A6" t="s">
        <v>51</v>
      </c>
      <c r="B6" s="18">
        <v>3856000000</v>
      </c>
      <c r="C6" s="18">
        <v>4182000000</v>
      </c>
      <c r="D6" s="18">
        <v>4939000000</v>
      </c>
      <c r="E6" s="18">
        <v>7920000000</v>
      </c>
      <c r="F6" s="6" t="s">
        <v>92</v>
      </c>
    </row>
    <row r="7" spans="1:6" x14ac:dyDescent="0.25">
      <c r="A7" t="s">
        <v>93</v>
      </c>
      <c r="B7" s="18">
        <v>3595000000</v>
      </c>
      <c r="C7" s="18">
        <v>3255000000</v>
      </c>
      <c r="D7" s="18">
        <v>2554000000</v>
      </c>
      <c r="E7" s="18">
        <v>2223000000</v>
      </c>
      <c r="F7" s="6" t="s">
        <v>94</v>
      </c>
    </row>
    <row r="8" spans="1:6" x14ac:dyDescent="0.25">
      <c r="A8" t="s">
        <v>95</v>
      </c>
      <c r="B8" s="18">
        <v>3914000000</v>
      </c>
      <c r="C8" s="18">
        <v>7453000000</v>
      </c>
      <c r="D8" s="18">
        <v>3947000000</v>
      </c>
      <c r="E8" s="18">
        <v>5125000000</v>
      </c>
      <c r="F8" s="6" t="s">
        <v>96</v>
      </c>
    </row>
    <row r="9" spans="1:6" x14ac:dyDescent="0.25">
      <c r="A9" t="s">
        <v>97</v>
      </c>
      <c r="B9" s="18">
        <v>-151000000</v>
      </c>
      <c r="C9" s="18">
        <v>217000000</v>
      </c>
      <c r="D9" s="18">
        <v>144000000</v>
      </c>
      <c r="E9" s="18">
        <v>226000000</v>
      </c>
      <c r="F9" s="6" t="s">
        <v>98</v>
      </c>
    </row>
    <row r="10" spans="1:6" x14ac:dyDescent="0.25">
      <c r="A10" t="s">
        <v>99</v>
      </c>
      <c r="B10" s="18">
        <v>8586000000</v>
      </c>
      <c r="C10" s="18">
        <v>9203000000</v>
      </c>
      <c r="D10" s="18">
        <v>6450000000</v>
      </c>
      <c r="E10" s="18">
        <v>6697000000</v>
      </c>
      <c r="F10" s="6" t="s">
        <v>100</v>
      </c>
    </row>
    <row r="11" spans="1:6" x14ac:dyDescent="0.25">
      <c r="A11" t="s">
        <v>101</v>
      </c>
      <c r="B11" s="18">
        <v>1434000000</v>
      </c>
      <c r="C11" s="18">
        <v>846000000</v>
      </c>
      <c r="D11" s="18">
        <v>875000000</v>
      </c>
      <c r="E11" s="18">
        <v>1454000000</v>
      </c>
      <c r="F11" s="6" t="s">
        <v>102</v>
      </c>
    </row>
    <row r="12" spans="1:6" x14ac:dyDescent="0.25">
      <c r="A12" t="s">
        <v>34</v>
      </c>
      <c r="B12" s="34">
        <v>633000000</v>
      </c>
      <c r="C12" s="34">
        <v>634000000</v>
      </c>
      <c r="D12" s="34">
        <v>642000000</v>
      </c>
      <c r="E12" s="34">
        <v>659000000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