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<sst xmlns="http://schemas.openxmlformats.org/spreadsheetml/2006/main" count="112" uniqueCount="100">
  <si>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Devon Energy Corporation (DVN)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</si>
  <si>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</si>
  <si>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</si>
  <si>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</si>
  <si>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</si>
  <si>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</si>
  <si>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</si>
  <si>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</si>
  <si>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</si>
  <si>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</si>
  <si>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</si>
  <si>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</si>
  <si>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</si>
  <si>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</si>
  <si>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</si>
  <si>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</si>
  <si>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</si>
  <si>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</si>
  <si>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</si>
  <si>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</si>
  <si>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</si>
  <si>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</si>
  <si>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</si>
  <si>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</si>
  <si>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</si>
  <si>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</si>
  <si>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</si>
  <si>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</si>
  <si>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</si>
  <si>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</si>
  <si>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</si>
  <si>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</si>
  <si>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</si>
  <si>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</si>
  <si>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</si>
  <si>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</si>
  <si>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</si>
  <si>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</si>
  <si>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</si>
  <si>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</si>
  <si>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</si>
  <si>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</si>
  <si>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</si>
  <si>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</si>
  <si>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</si>
  <si>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</si>
  <si>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</si>
  <si>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</si>
  <si>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</si>
  <si>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</si>
  <si>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</si>
  <si>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</si>
  <si>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</si>
  <si>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</si>
  <si>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</si>
  <si>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</si>
  <si>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</si>
  <si>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</si>
  <si>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</si>
  <si>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</si>
  <si>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</si>
  <si>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</si>
  <si>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</si>
  <si>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</si>
  <si>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</si>
  <si>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</si>
  <si>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</si>
  <si>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</si>
  <si>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</si>
  <si>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</si>
  <si>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</si>
  <si>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</si>
  <si>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</si>
  <si>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</si>
  <si>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</si>
  <si>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</si>
  <si>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</si>
  <si>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</si>
  <si>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</si>
  <si>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</si>
  <si>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</si>
  <si>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</si>
  <si>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</si>
  <si>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</si>
  <si>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</si>
  <si>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</si>
  <si>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</si>
  <si>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</si>
  <si>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</si>
  <si>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</si>
  <si>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</si>
  <si>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</si>
  <si>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</si>
  <si>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</si>
  <si>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</si>
  <si>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</si>
  <si>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</si>
  <si>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</si>
  <si>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30.5% of revenue against depreciation of 17.4%.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</si>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</sst>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-0.03570785468840698</v>
      </c>
    </row>
    <row r="7" spans="1:2" x14ac:dyDescent="0.25">
      <c r="A7" t="s">
        <v>5</v>
      </c>
      <c r="B7" s="6">
        <v>0.30589188651947075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0.1741792261884202</v>
      </c>
    </row>
    <row r="10" spans="1:2" x14ac:dyDescent="0.25">
      <c r="A10" t="s">
        <v>8</v>
      </c>
      <c r="B10" s="6">
        <v>0.30533140231988654</v>
      </c>
    </row>
    <row r="11" spans="1:2" x14ac:dyDescent="0.25">
      <c r="A11" t="s">
        <v>9</v>
      </c>
      <c r="B11" s="6">
        <v>-0.03681922781897213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8.136223677895584</v>
      </c>
    </row>
    <row r="14" spans="1:3" x14ac:dyDescent="0.25">
      <c r="A14" t="s">
        <v>12</v>
      </c>
      <c r="B14" s="6">
        <v>0.17775542982337053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0.61542</v>
      </c>
      <c r="C19" s="8" t="s">
        <v>19</v>
      </c>
    </row>
    <row r="20" spans="1:2" x14ac:dyDescent="0.25">
      <c r="A20" t="s">
        <v>20</v>
      </c>
      <c r="B20" s="10">
        <f>B17+B19*B18</f>
        <v>0.0838281</v>
      </c>
    </row>
    <row r="21" spans="1:3" x14ac:dyDescent="0.25">
      <c r="A21" t="s">
        <v>21</v>
      </c>
      <c r="B21" s="6">
        <v>0.055877227500140535</v>
      </c>
      <c r="C21" s="8" t="s">
        <v>22</v>
      </c>
    </row>
    <row r="22" spans="1:2" x14ac:dyDescent="0.25">
      <c r="A22" t="s">
        <v>23</v>
      </c>
      <c r="B22" s="11">
        <v>53471002624</v>
      </c>
    </row>
    <row r="23" spans="1:2" x14ac:dyDescent="0.25">
      <c r="A23" t="s">
        <v>24</v>
      </c>
      <c r="B23" s="11">
        <v>8586000000</v>
      </c>
    </row>
    <row r="24" spans="1:2" x14ac:dyDescent="0.25">
      <c r="A24" t="s">
        <v>25</v>
      </c>
      <c r="B24" s="10">
        <f>B22/(B22+B23)</f>
        <v>0.8616433337584462</v>
      </c>
    </row>
    <row r="25" spans="1:2" x14ac:dyDescent="0.25">
      <c r="A25" t="s">
        <v>26</v>
      </c>
      <c r="B25" s="10">
        <f>1-B24</f>
        <v>0.13835666624155385</v>
      </c>
    </row>
    <row r="26" spans="1:2" x14ac:dyDescent="0.25">
      <c r="A26" t="s">
        <v>27</v>
      </c>
      <c r="B26" s="12">
        <f>B24*B20+B25*B21*(1-B8)</f>
        <v>0.07833740321007125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17188000000</v>
      </c>
      <c r="C29" s="8" t="s">
        <v>30</v>
      </c>
    </row>
    <row r="30" spans="1:2" x14ac:dyDescent="0.25">
      <c r="A30" t="s">
        <v>31</v>
      </c>
      <c r="B30" s="11">
        <v>7152000000</v>
      </c>
    </row>
    <row r="31" spans="1:2" x14ac:dyDescent="0.25">
      <c r="A31" t="s">
        <v>32</v>
      </c>
      <c r="B31" s="13">
        <v>633000000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-0.03570785468840698</v>
      </c>
      <c r="C5" s="10">
        <f>Assumptions!B6</f>
        <v>-0.03570785468840698</v>
      </c>
      <c r="D5" s="10">
        <f>Assumptions!B6</f>
        <v>-0.03570785468840698</v>
      </c>
      <c r="E5" s="10">
        <f>Assumptions!B6</f>
        <v>-0.03570785468840698</v>
      </c>
      <c r="F5" s="10">
        <f>Assumptions!B6</f>
        <v>-0.03570785468840698</v>
      </c>
    </row>
    <row r="6" spans="1:6" x14ac:dyDescent="0.25">
      <c r="A6" t="s">
        <v>43</v>
      </c>
      <c r="B6" s="18">
        <f>Assumptions!B29*(1+B5)</f>
        <v>16574253393.615662</v>
      </c>
      <c r="C6" s="18">
        <f>B6*(1+C5)</f>
        <v>15982422361.867598</v>
      </c>
      <c r="D6" s="18">
        <f>C6*(1+D5)</f>
        <v>15411724346.601284</v>
      </c>
      <c r="E6" s="18">
        <f>D6*(1+E5)</f>
        <v>14861404733.135061</v>
      </c>
      <c r="F6" s="18">
        <f>E6*(1+F5)</f>
        <v>14330735852.458672</v>
      </c>
    </row>
    <row r="7" spans="1:6" x14ac:dyDescent="0.25">
      <c r="A7" t="s">
        <v>5</v>
      </c>
      <c r="B7" s="10">
        <f>Assumptions!B7</f>
        <v>0.30589188651947075</v>
      </c>
      <c r="C7" s="10">
        <f>Assumptions!B7</f>
        <v>0.30589188651947075</v>
      </c>
      <c r="D7" s="10">
        <f>Assumptions!B7</f>
        <v>0.30589188651947075</v>
      </c>
      <c r="E7" s="10">
        <f>Assumptions!B7</f>
        <v>0.30589188651947075</v>
      </c>
      <c r="F7" s="10">
        <f>Assumptions!B7</f>
        <v>0.30589188651947075</v>
      </c>
    </row>
    <row r="8" spans="1:6" x14ac:dyDescent="0.25">
      <c r="A8" t="s">
        <v>44</v>
      </c>
      <c r="B8" s="18">
        <f>B6*B7</f>
        <v>5069929638.224834</v>
      </c>
      <c r="C8" s="18">
        <f>C6*C7</f>
        <v>4888893327.422655</v>
      </c>
      <c r="D8" s="18">
        <f>D6*D7</f>
        <v>4714321434.899924</v>
      </c>
      <c r="E8" s="18">
        <f>E6*E7</f>
        <v>4545983130.148076</v>
      </c>
      <c r="F8" s="18">
        <f>F6*F7</f>
        <v>4383655825.120799</v>
      </c>
    </row>
    <row r="9" spans="1:6" x14ac:dyDescent="0.25">
      <c r="A9" t="s">
        <v>45</v>
      </c>
      <c r="B9" s="18">
        <f>B8*(1-Assumptions!B8)</f>
        <v>4005244414.1976194</v>
      </c>
      <c r="C9" s="18">
        <f>C8*(1-Assumptions!B8)</f>
        <v>3862225728.6638975</v>
      </c>
      <c r="D9" s="18">
        <f>D8*(1-Assumptions!B8)</f>
        <v>3724313933.5709405</v>
      </c>
      <c r="E9" s="18">
        <f>E8*(1-Assumptions!B8)</f>
        <v>3591326672.8169804</v>
      </c>
      <c r="F9" s="18">
        <f>F8*(1-Assumptions!B8)</f>
        <v>3463088101.8454313</v>
      </c>
    </row>
    <row r="10" spans="1:6" x14ac:dyDescent="0.25">
      <c r="A10" t="s">
        <v>46</v>
      </c>
      <c r="B10" s="18">
        <f>B6*Assumptions!B9</f>
        <v>2886890630.7507734</v>
      </c>
      <c r="C10" s="18">
        <f>C6*Assumptions!B9</f>
        <v>2783805959.606601</v>
      </c>
      <c r="D10" s="18">
        <f>D6*Assumptions!B9</f>
        <v>2684402220.9202476</v>
      </c>
      <c r="E10" s="18">
        <f>E6*Assumptions!B9</f>
        <v>2588547976.4903903</v>
      </c>
      <c r="F10" s="18">
        <f>F6*Assumptions!B9</f>
        <v>2496116481.4919014</v>
      </c>
    </row>
    <row r="11" spans="1:6" x14ac:dyDescent="0.25">
      <c r="A11" t="s">
        <v>47</v>
      </c>
      <c r="B11" s="18">
        <f>-B6*Assumptions!B10</f>
        <v>-5060640031.077808</v>
      </c>
      <c r="C11" s="18">
        <f>-C6*Assumptions!B10</f>
        <v>-4879935432.217747</v>
      </c>
      <c r="D11" s="18">
        <f>-D6*Assumptions!B10</f>
        <v>-4705683406.915307</v>
      </c>
      <c r="E11" s="18">
        <f>-E6*Assumptions!B10</f>
        <v>-4537653547.611527</v>
      </c>
      <c r="F11" s="18">
        <f>-F6*Assumptions!B10</f>
        <v>-4375623674.10708</v>
      </c>
    </row>
    <row r="12" spans="1:6" x14ac:dyDescent="0.25">
      <c r="A12" t="s">
        <v>48</v>
      </c>
      <c r="B12" s="18">
        <f>-(B6-Assumptions!B29)*Assumptions!B11</f>
        <v>-22597676.12358597</v>
      </c>
      <c r="C12" s="18">
        <f>-(C6-B6)*Assumptions!B11</f>
        <v>-21790761.588269297</v>
      </c>
      <c r="D12" s="18">
        <f>-(D6-C6)*Assumptions!B11</f>
        <v>-21012660.239925634</v>
      </c>
      <c r="E12" s="18">
        <f>-(E6-D6)*Assumptions!B11</f>
        <v>-20262343.22146154</v>
      </c>
      <c r="F12" s="18">
        <f>-(F6-E6)*Assumptions!B11</f>
        <v>-19538818.41406293</v>
      </c>
    </row>
    <row r="13" spans="1:6" x14ac:dyDescent="0.25">
      <c r="A13" s="19" t="s">
        <v>49</v>
      </c>
      <c r="B13" s="20">
        <f>B9+B10+B11+B12</f>
        <v>1808897337.7469985</v>
      </c>
      <c r="C13" s="20">
        <f>C9+C10+C11+C12</f>
        <v>1744305494.4644823</v>
      </c>
      <c r="D13" s="20">
        <f>D9+D10+D11+D12</f>
        <v>1682020087.3359554</v>
      </c>
      <c r="E13" s="20">
        <f>E9+E10+E11+E12</f>
        <v>1621958758.4743822</v>
      </c>
      <c r="F13" s="20">
        <f>F9+F10+F11+F12</f>
        <v>1564042090.8161893</v>
      </c>
    </row>
    <row r="14" spans="1:6" x14ac:dyDescent="0.25">
      <c r="A14" t="s">
        <v>50</v>
      </c>
      <c r="B14" s="21">
        <f>1/(1+Assumptions!$B$26)^(1-0.5*Assumptions!$B$32)</f>
        <v>0.9629919690283368</v>
      </c>
      <c r="C14" s="21">
        <f>1/(1+Assumptions!$B$26)^(2-0.5*Assumptions!$B$32)</f>
        <v>0.893034004163849</v>
      </c>
      <c r="D14" s="21">
        <f>1/(1+Assumptions!$B$26)^(3-0.5*Assumptions!$B$32)</f>
        <v>0.8281582383263366</v>
      </c>
      <c r="E14" s="21">
        <f>1/(1+Assumptions!$B$26)^(4-0.5*Assumptions!$B$32)</f>
        <v>0.7679954677089159</v>
      </c>
      <c r="F14" s="21">
        <f>1/(1+Assumptions!$B$26)^(5-0.5*Assumptions!$B$32)</f>
        <v>0.7122033098570935</v>
      </c>
    </row>
    <row r="15" spans="1:6" x14ac:dyDescent="0.25">
      <c r="A15" s="19" t="s">
        <v>51</v>
      </c>
      <c r="B15" s="20">
        <f>B13*B14</f>
        <v>1741953609.0470986</v>
      </c>
      <c r="C15" s="20">
        <f>C13*C14</f>
        <v>1557724120.2066193</v>
      </c>
      <c r="D15" s="20">
        <f>D13*D14</f>
        <v>1392978792.3576558</v>
      </c>
      <c r="E15" s="20">
        <f>E13*E14</f>
        <v>1245656975.3191056</v>
      </c>
      <c r="F15" s="20">
        <f>F13*F14</f>
        <v>1113915953.8350987</v>
      </c>
    </row>
    <row r="17" spans="1:2" x14ac:dyDescent="0.25">
      <c r="A17" s="22" t="s">
        <v>52</v>
      </c>
      <c r="B17" s="23">
        <f>SUM(B15:F15)</f>
        <v>7052229450.765577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1564042090.8161893</v>
      </c>
    </row>
    <row r="5" spans="1:2" x14ac:dyDescent="0.25">
      <c r="A5" t="s">
        <v>56</v>
      </c>
      <c r="B5" s="18">
        <f>IF(Assumptions!$B$33=0,B4,B4-Forecast!F11-Forecast!F10-Forecast!F12)</f>
        <v>3463088101.8454313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0.14064267980360232</v>
      </c>
    </row>
    <row r="7" spans="1:2" x14ac:dyDescent="0.25">
      <c r="A7" t="s">
        <v>58</v>
      </c>
      <c r="B7" s="18">
        <f>-MAX(Forecast!F9,0)*B6</f>
        <v>-487057991.0395119</v>
      </c>
    </row>
    <row r="8" spans="1:2" x14ac:dyDescent="0.25">
      <c r="A8" t="s">
        <v>59</v>
      </c>
      <c r="B8" s="18">
        <f>IF(OR(Assumptions!$B$33=0,Assumptions!B12&lt;=0),B5,MAX(B5+B7,0))</f>
        <v>2976030110.8059196</v>
      </c>
    </row>
    <row r="9" spans="1:2" x14ac:dyDescent="0.25">
      <c r="A9" t="s">
        <v>60</v>
      </c>
      <c r="B9" s="18">
        <f>B8*(1+Assumptions!B12)/(Assumptions!B26-Assumptions!B12)</f>
        <v>57191214419.67914</v>
      </c>
    </row>
    <row r="10" spans="1:2" x14ac:dyDescent="0.25">
      <c r="A10" t="s">
        <v>61</v>
      </c>
      <c r="B10" s="18">
        <f>B9/(1+Assumptions!B26)^(5-0.5*Assumptions!B32)</f>
        <v>40731772204.442215</v>
      </c>
    </row>
    <row r="11" spans="1:2" x14ac:dyDescent="0.25">
      <c r="A11" t="s">
        <v>62</v>
      </c>
      <c r="B11" s="18">
        <f>Forecast!B17+B10</f>
        <v>47784001655.207794</v>
      </c>
    </row>
    <row r="12" spans="1:2" x14ac:dyDescent="0.25">
      <c r="A12" t="s">
        <v>63</v>
      </c>
      <c r="B12" s="18">
        <f>-Assumptions!B30</f>
        <v>-7152000000</v>
      </c>
    </row>
    <row r="13" spans="1:2" x14ac:dyDescent="0.25">
      <c r="A13" t="s">
        <v>64</v>
      </c>
      <c r="B13" s="18">
        <f>B11+B12</f>
        <v>40632001655.207794</v>
      </c>
    </row>
    <row r="14" spans="1:2" x14ac:dyDescent="0.25">
      <c r="A14" s="19" t="s">
        <v>65</v>
      </c>
      <c r="B14" s="24">
        <f>B13/Assumptions!B31</f>
        <v>64.18957607457787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6879772306.6127</v>
      </c>
    </row>
    <row r="18" spans="1:2" x14ac:dyDescent="0.25">
      <c r="A18" t="s">
        <v>60</v>
      </c>
      <c r="B18" s="18">
        <f>B17*Assumptions!B13</f>
        <v>55975366339.592575</v>
      </c>
    </row>
    <row r="19" spans="1:2" x14ac:dyDescent="0.25">
      <c r="A19" t="s">
        <v>61</v>
      </c>
      <c r="B19" s="18">
        <f>B18/(1+Assumptions!B26)^(5-0.5*Assumptions!B32)</f>
        <v>39865841177.52117</v>
      </c>
    </row>
    <row r="20" spans="1:2" x14ac:dyDescent="0.25">
      <c r="A20" t="s">
        <v>62</v>
      </c>
      <c r="B20" s="18">
        <f>Forecast!B17+B19</f>
        <v>46918070628.28675</v>
      </c>
    </row>
    <row r="21" spans="1:2" x14ac:dyDescent="0.25">
      <c r="A21" t="s">
        <v>63</v>
      </c>
      <c r="B21" s="18">
        <f>-Assumptions!B30</f>
        <v>-7152000000</v>
      </c>
    </row>
    <row r="22" spans="1:2" x14ac:dyDescent="0.25">
      <c r="A22" t="s">
        <v>64</v>
      </c>
      <c r="B22" s="18">
        <f>B20+B21</f>
        <v>39766070628.28675</v>
      </c>
    </row>
    <row r="23" spans="1:2" x14ac:dyDescent="0.25">
      <c r="A23" s="19" t="s">
        <v>65</v>
      </c>
      <c r="B23" s="25">
        <f>B22/Assumptions!B31</f>
        <v>62.82159656917338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48.61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64.18957607457787</v>
      </c>
    </row>
    <row r="29" spans="1:2" x14ac:dyDescent="0.25">
      <c r="A29" s="19" t="s">
        <v>73</v>
      </c>
      <c r="B29" s="12">
        <f>B28/B26-1</f>
        <v>0.3205014621390223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0.058337</v>
      </c>
      <c r="B5" s="31">
        <v>91.23338092096354</v>
      </c>
      <c r="C5" s="31">
        <v>100.42282621057697</v>
      </c>
      <c r="D5" s="31">
        <v>112.33303569055808</v>
      </c>
      <c r="E5" s="31">
        <v>128.40422755110046</v>
      </c>
      <c r="F5" s="31">
        <v>151.3108987587559</v>
      </c>
    </row>
    <row r="6" spans="1:6" x14ac:dyDescent="0.25">
      <c r="A6" s="30">
        <v>0.068337</v>
      </c>
      <c r="B6" s="31">
        <v>70.88058461976401</v>
      </c>
      <c r="C6" s="31">
        <v>76.17703046540818</v>
      </c>
      <c r="D6" s="31">
        <v>82.66925654871677</v>
      </c>
      <c r="E6" s="31">
        <v>90.82513212302119</v>
      </c>
      <c r="F6" s="31">
        <v>101.39321711767735</v>
      </c>
    </row>
    <row r="7" spans="1:6" x14ac:dyDescent="0.25">
      <c r="A7" s="30">
        <v>0.078337</v>
      </c>
      <c r="B7" s="31">
        <v>57.01470049057523</v>
      </c>
      <c r="C7" s="31">
        <v>60.30433287101355</v>
      </c>
      <c r="D7" s="32">
        <v>64.19018027986162</v>
      </c>
      <c r="E7" s="31">
        <v>68.85726093145105</v>
      </c>
      <c r="F7" s="31">
        <v>74.57597883716058</v>
      </c>
    </row>
    <row r="8" spans="1:6" x14ac:dyDescent="0.25">
      <c r="A8" s="30">
        <v>0.088337</v>
      </c>
      <c r="B8" s="31">
        <v>46.978977331380705</v>
      </c>
      <c r="C8" s="31">
        <v>49.12577658101384</v>
      </c>
      <c r="D8" s="31">
        <v>51.59492427638637</v>
      </c>
      <c r="E8" s="31">
        <v>54.46930480795535</v>
      </c>
      <c r="F8" s="31">
        <v>57.862882075882865</v>
      </c>
    </row>
    <row r="9" spans="1:6" x14ac:dyDescent="0.25">
      <c r="A9" s="30">
        <v>0.098337</v>
      </c>
      <c r="B9" s="31">
        <v>39.392037000486596</v>
      </c>
      <c r="C9" s="31">
        <v>40.841121164517126</v>
      </c>
      <c r="D9" s="31">
        <v>42.474039256769636</v>
      </c>
      <c r="E9" s="31">
        <v>44.33114290115695</v>
      </c>
      <c r="F9" s="31">
        <v>46.46552560198182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17188000000</v>
      </c>
      <c r="C5" s="18">
        <v>15940000000</v>
      </c>
      <c r="D5" s="18">
        <v>15258000000</v>
      </c>
      <c r="E5" s="18">
        <v>19169000000</v>
      </c>
      <c r="F5" s="8" t="s">
        <v>84</v>
      </c>
    </row>
    <row r="6" spans="1:6" x14ac:dyDescent="0.25">
      <c r="A6" t="s">
        <v>44</v>
      </c>
      <c r="B6" s="18">
        <v>3856000000</v>
      </c>
      <c r="C6" s="18">
        <v>4182000000</v>
      </c>
      <c r="D6" s="18">
        <v>4939000000</v>
      </c>
      <c r="E6" s="18">
        <v>7920000000</v>
      </c>
      <c r="F6" s="8" t="s">
        <v>85</v>
      </c>
    </row>
    <row r="7" spans="1:6" x14ac:dyDescent="0.25">
      <c r="A7" t="s">
        <v>86</v>
      </c>
      <c r="B7" s="18">
        <v>3595000000</v>
      </c>
      <c r="C7" s="18">
        <v>3255000000</v>
      </c>
      <c r="D7" s="18">
        <v>2554000000</v>
      </c>
      <c r="E7" s="18">
        <v>2223000000</v>
      </c>
      <c r="F7" s="8" t="s">
        <v>87</v>
      </c>
    </row>
    <row r="8" spans="1:6" x14ac:dyDescent="0.25">
      <c r="A8" t="s">
        <v>88</v>
      </c>
      <c r="B8" s="18">
        <v>3914000000</v>
      </c>
      <c r="C8" s="18">
        <v>7453000000</v>
      </c>
      <c r="D8" s="18">
        <v>3947000000</v>
      </c>
      <c r="E8" s="18">
        <v>5125000000</v>
      </c>
      <c r="F8" s="8" t="s">
        <v>89</v>
      </c>
    </row>
    <row r="9" spans="1:6" x14ac:dyDescent="0.25">
      <c r="A9" t="s">
        <v>90</v>
      </c>
      <c r="B9" s="18">
        <v>-151000000</v>
      </c>
      <c r="C9" s="18">
        <v>217000000</v>
      </c>
      <c r="D9" s="18">
        <v>144000000</v>
      </c>
      <c r="E9" s="18">
        <v>226000000</v>
      </c>
      <c r="F9" s="8" t="s">
        <v>91</v>
      </c>
    </row>
    <row r="10" spans="1:6" x14ac:dyDescent="0.25">
      <c r="A10" t="s">
        <v>92</v>
      </c>
      <c r="B10" s="18">
        <v>8586000000</v>
      </c>
      <c r="C10" s="18">
        <v>9203000000</v>
      </c>
      <c r="D10" s="18">
        <v>6450000000</v>
      </c>
      <c r="E10" s="18">
        <v>6697000000</v>
      </c>
      <c r="F10" s="8" t="s">
        <v>93</v>
      </c>
    </row>
    <row r="11" spans="1:6" x14ac:dyDescent="0.25">
      <c r="A11" t="s">
        <v>94</v>
      </c>
      <c r="B11" s="18">
        <v>1434000000</v>
      </c>
      <c r="C11" s="18">
        <v>846000000</v>
      </c>
      <c r="D11" s="18">
        <v>875000000</v>
      </c>
      <c r="E11" s="18">
        <v>1454000000</v>
      </c>
      <c r="F11" s="8" t="s">
        <v>95</v>
      </c>
    </row>
    <row r="12" spans="1:6" x14ac:dyDescent="0.25">
      <c r="A12" t="s">
        <v>32</v>
      </c>
      <c r="B12" s="34">
        <v>633000000</v>
      </c>
      <c r="C12" s="34">
        <v>634000000</v>
      </c>
      <c r="D12" s="34">
        <v>642000000</v>
      </c>
      <c r="E12" s="34">
        <v>659000000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2026-09-19T00:07:15Z</dcterms:modified>
</cp:coreProperties>
</file>