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<sst xmlns="http://schemas.openxmlformats.org/spreadsheetml/2006/main" count="113" uniqueCount="101">
  <si>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DexCom, Inc. (DXCM)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</si>
  <si>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</si>
  <si>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</si>
  <si>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</si>
  <si>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</si>
  <si>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</si>
  <si>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</si>
  <si>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</si>
  <si>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</si>
  <si>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</si>
  <si>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</si>
  <si>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</si>
  <si>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</si>
  <si>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</si>
  <si>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</si>
  <si>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</si>
  <si>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</si>
  <si>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</si>
  <si>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</si>
  <si>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</si>
  <si>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</si>
  <si>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</si>
  <si>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</si>
  <si>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</si>
  <si>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</si>
  <si>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</si>
  <si>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</si>
  <si>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</si>
  <si>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</si>
  <si>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</si>
  <si>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</si>
  <si>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</si>
  <si>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</si>
  <si>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</si>
  <si>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</si>
  <si>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</si>
  <si>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</si>
  <si>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</si>
  <si>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</si>
  <si>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</si>
  <si>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</si>
  <si>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</si>
  <si>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</si>
  <si>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</si>
  <si>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</si>
  <si>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</si>
  <si>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</si>
  <si>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</si>
  <si>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</si>
  <si>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</si>
  <si>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</si>
  <si>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</si>
  <si>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</si>
  <si>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</si>
  <si>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</si>
  <si>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</si>
  <si>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</si>
  <si>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</si>
  <si>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</si>
  <si>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</si>
  <si>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</si>
  <si>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</si>
  <si>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</si>
  <si>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</si>
  <si>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</si>
  <si>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</si>
  <si>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</si>
  <si>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</si>
  <si>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</si>
  <si>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</si>
  <si>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</si>
  <si>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</si>
  <si>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</si>
  <si>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</si>
  <si>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</si>
  <si>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</si>
  <si>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</si>
  <si>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</si>
  <si>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</si>
  <si>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</si>
  <si>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</si>
  <si>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</si>
  <si>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</si>
  <si>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</si>
  <si>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</si>
  <si>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</si>
  <si>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</si>
  <si>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</si>
  <si>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</si>
  <si>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</si>
  <si>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</si>
  <si>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</si>
  <si>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</si>
  <si>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</si>
  <si>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</si>
  <si>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</si>
  <si>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</si>
  <si>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</si>
  <si>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Adjusted: Capital expenditure runs at 8.9% of revenue against depreciation of 5.3%. A perpetuity has to be a steady state, so the terminal year uses maintenance capex at depreciation and then charges the reinvestment terminal growth requires (g/ROIC of NOPAT). The bridge is shown under Terminal Value.</t>
  </si>
  <si>
    <t>Current EV/EBITDA of 29.4x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</si>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</sst>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0.1701360960301399</v>
      </c>
    </row>
    <row r="7" spans="1:2" x14ac:dyDescent="0.25">
      <c r="A7" t="s">
        <v>5</v>
      </c>
      <c r="B7" s="6">
        <v>0.1609504526280831</v>
      </c>
    </row>
    <row r="8" spans="1:2" x14ac:dyDescent="0.25">
      <c r="A8" t="s">
        <v>6</v>
      </c>
      <c r="B8" s="6">
        <v>0.20946523383660182</v>
      </c>
    </row>
    <row r="9" spans="1:2" x14ac:dyDescent="0.25">
      <c r="A9" t="s">
        <v>7</v>
      </c>
      <c r="B9" s="6">
        <v>0.05322924447378502</v>
      </c>
    </row>
    <row r="10" spans="1:2" x14ac:dyDescent="0.25">
      <c r="A10" t="s">
        <v>8</v>
      </c>
      <c r="B10" s="6">
        <v>0.08940597882484583</v>
      </c>
    </row>
    <row r="11" spans="1:2" x14ac:dyDescent="0.25">
      <c r="A11" t="s">
        <v>9</v>
      </c>
      <c r="B11" s="6">
        <v>-0.1643879173290938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0.11721737231367488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1.2807300000000001</v>
      </c>
      <c r="C19" s="8" t="s">
        <v>19</v>
      </c>
    </row>
    <row r="20" spans="1:2" x14ac:dyDescent="0.25">
      <c r="A20" t="s">
        <v>20</v>
      </c>
      <c r="B20" s="10">
        <f>B17+B19*B18</f>
        <v>0.12042015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33717184512</v>
      </c>
    </row>
    <row r="23" spans="1:2" x14ac:dyDescent="0.25">
      <c r="A23" t="s">
        <v>24</v>
      </c>
      <c r="B23" s="11">
        <v>1389700000</v>
      </c>
    </row>
    <row r="24" spans="1:2" x14ac:dyDescent="0.25">
      <c r="A24" t="s">
        <v>25</v>
      </c>
      <c r="B24" s="10">
        <f>B22/(B22+B23)</f>
        <v>0.9604151715733995</v>
      </c>
    </row>
    <row r="25" spans="1:2" x14ac:dyDescent="0.25">
      <c r="A25" t="s">
        <v>26</v>
      </c>
      <c r="B25" s="10">
        <f>1-B24</f>
        <v>0.039584828426600494</v>
      </c>
    </row>
    <row r="26" spans="1:2" x14ac:dyDescent="0.25">
      <c r="A26" t="s">
        <v>27</v>
      </c>
      <c r="B26" s="12">
        <f>B24*B20+B25*B21*(1-B8)</f>
        <v>0.11721737231367488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4662000000</v>
      </c>
      <c r="C29" s="8" t="s">
        <v>30</v>
      </c>
    </row>
    <row r="30" spans="1:2" x14ac:dyDescent="0.25">
      <c r="A30" t="s">
        <v>31</v>
      </c>
      <c r="B30" s="11">
        <v>472000000</v>
      </c>
    </row>
    <row r="31" spans="1:2" x14ac:dyDescent="0.25">
      <c r="A31" t="s">
        <v>32</v>
      </c>
      <c r="B31" s="13">
        <v>405500000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0.1701360960301399</v>
      </c>
      <c r="C5" s="10">
        <f>Assumptions!B6</f>
        <v>0.1701360960301399</v>
      </c>
      <c r="D5" s="10">
        <f>Assumptions!B6</f>
        <v>0.1701360960301399</v>
      </c>
      <c r="E5" s="10">
        <f>Assumptions!B6</f>
        <v>0.1701360960301399</v>
      </c>
      <c r="F5" s="10">
        <f>Assumptions!B6</f>
        <v>0.1701360960301399</v>
      </c>
    </row>
    <row r="6" spans="1:6" x14ac:dyDescent="0.25">
      <c r="A6" t="s">
        <v>43</v>
      </c>
      <c r="B6" s="18">
        <f>Assumptions!B29*(1+B5)</f>
        <v>5455174479.6925125</v>
      </c>
      <c r="C6" s="18">
        <f>B6*(1+C5)</f>
        <v>6383296568.8306465</v>
      </c>
      <c r="D6" s="18">
        <f>C6*(1+D5)</f>
        <v>7469325726.85408</v>
      </c>
      <c r="E6" s="18">
        <f>D6*(1+E5)</f>
        <v>8740127645.99852</v>
      </c>
      <c r="F6" s="18">
        <f>E6*(1+F5)</f>
        <v>10227138842.493805</v>
      </c>
    </row>
    <row r="7" spans="1:6" x14ac:dyDescent="0.25">
      <c r="A7" t="s">
        <v>5</v>
      </c>
      <c r="B7" s="10">
        <f>Assumptions!B7</f>
        <v>0.1609504526280831</v>
      </c>
      <c r="C7" s="10">
        <f>Assumptions!B7</f>
        <v>0.1609504526280831</v>
      </c>
      <c r="D7" s="10">
        <f>Assumptions!B7</f>
        <v>0.1609504526280831</v>
      </c>
      <c r="E7" s="10">
        <f>Assumptions!B7</f>
        <v>0.1609504526280831</v>
      </c>
      <c r="F7" s="10">
        <f>Assumptions!B7</f>
        <v>0.1609504526280831</v>
      </c>
    </row>
    <row r="8" spans="1:6" x14ac:dyDescent="0.25">
      <c r="A8" t="s">
        <v>44</v>
      </c>
      <c r="B8" s="18">
        <f>B6*B7</f>
        <v>878012801.6716776</v>
      </c>
      <c r="C8" s="18">
        <f>C6*C7</f>
        <v>1027394472.0125824</v>
      </c>
      <c r="D8" s="18">
        <f>D6*D7</f>
        <v>1202191356.56375</v>
      </c>
      <c r="E8" s="18">
        <f>E6*E7</f>
        <v>1406727500.6506844</v>
      </c>
      <c r="F8" s="18">
        <f>F6*F7</f>
        <v>1646062625.7896278</v>
      </c>
    </row>
    <row r="9" spans="1:6" x14ac:dyDescent="0.25">
      <c r="A9" t="s">
        <v>45</v>
      </c>
      <c r="B9" s="18">
        <f>B8*(1-Assumptions!B8)</f>
        <v>694099644.8579897</v>
      </c>
      <c r="C9" s="18">
        <f>C8*(1-Assumptions!B8)</f>
        <v>812191048.6900347</v>
      </c>
      <c r="D9" s="18">
        <f>D8*(1-Assumptions!B8)</f>
        <v>950374062.9447825</v>
      </c>
      <c r="E9" s="18">
        <f>E8*(1-Assumptions!B8)</f>
        <v>1112066995.7825103</v>
      </c>
      <c r="F9" s="18">
        <f>F8*(1-Assumptions!B8)</f>
        <v>1301269732.9689126</v>
      </c>
    </row>
    <row r="10" spans="1:6" x14ac:dyDescent="0.25">
      <c r="A10" t="s">
        <v>46</v>
      </c>
      <c r="B10" s="18">
        <f>B6*Assumptions!B9</f>
        <v>290374816.02670574</v>
      </c>
      <c r="C10" s="18">
        <f>C6*Assumptions!B9</f>
        <v>339778053.6109596</v>
      </c>
      <c r="D10" s="18">
        <f>D6*Assumptions!B9</f>
        <v>397586565.16904783</v>
      </c>
      <c r="E10" s="18">
        <f>E6*Assumptions!B9</f>
        <v>465230391.2009424</v>
      </c>
      <c r="F10" s="18">
        <f>F6*Assumptions!B9</f>
        <v>544382873.7144455</v>
      </c>
    </row>
    <row r="11" spans="1:6" x14ac:dyDescent="0.25">
      <c r="A11" t="s">
        <v>47</v>
      </c>
      <c r="B11" s="18">
        <f>-B6*Assumptions!B10</f>
        <v>-487725214.0172281</v>
      </c>
      <c r="C11" s="18">
        <f>-C6*Assumptions!B10</f>
        <v>-570704877.8655838</v>
      </c>
      <c r="D11" s="18">
        <f>-D6*Assumptions!B10</f>
        <v>-667802377.770992</v>
      </c>
      <c r="E11" s="18">
        <f>-E6*Assumptions!B10</f>
        <v>-781419667.2445933</v>
      </c>
      <c r="F11" s="18">
        <f>-F6*Assumptions!B10</f>
        <v>-914367358.7907594</v>
      </c>
    </row>
    <row r="12" spans="1:6" x14ac:dyDescent="0.25">
      <c r="A12" t="s">
        <v>48</v>
      </c>
      <c r="B12" s="18">
        <f>-(B6-Assumptions!B29)*Assumptions!B11</f>
        <v>130388300.79523973</v>
      </c>
      <c r="C12" s="18">
        <f>-(C6-B6)*Assumptions!B11</f>
        <v>152572057.2605454</v>
      </c>
      <c r="D12" s="18">
        <f>-(D6-C6)*Assumptions!B11</f>
        <v>178530071.44614157</v>
      </c>
      <c r="E12" s="18">
        <f>-(E6-D6)*Assumptions!B11</f>
        <v>208904480.8259699</v>
      </c>
      <c r="F12" s="18">
        <f>-(F6-E6)*Assumptions!B11</f>
        <v>244446673.63690376</v>
      </c>
    </row>
    <row r="13" spans="1:6" x14ac:dyDescent="0.25">
      <c r="A13" s="19" t="s">
        <v>49</v>
      </c>
      <c r="B13" s="20">
        <f>B9+B10+B11+B12</f>
        <v>627137547.662707</v>
      </c>
      <c r="C13" s="20">
        <f>C9+C10+C11+C12</f>
        <v>733836281.695956</v>
      </c>
      <c r="D13" s="20">
        <f>D9+D10+D11+D12</f>
        <v>858688321.7889799</v>
      </c>
      <c r="E13" s="20">
        <f>E9+E10+E11+E12</f>
        <v>1004782200.5648295</v>
      </c>
      <c r="F13" s="20">
        <f>F9+F10+F11+F12</f>
        <v>1175731921.5295024</v>
      </c>
    </row>
    <row r="14" spans="1:6" x14ac:dyDescent="0.25">
      <c r="A14" t="s">
        <v>50</v>
      </c>
      <c r="B14" s="21">
        <f>1/(1+Assumptions!$B$26)^(1-0.5*Assumptions!$B$32)</f>
        <v>0.9460871850234338</v>
      </c>
      <c r="C14" s="21">
        <f>1/(1+Assumptions!$B$26)^(2-0.5*Assumptions!$B$32)</f>
        <v>0.8468246273902428</v>
      </c>
      <c r="D14" s="21">
        <f>1/(1+Assumptions!$B$26)^(3-0.5*Assumptions!$B$32)</f>
        <v>0.7579766018465425</v>
      </c>
      <c r="E14" s="21">
        <f>1/(1+Assumptions!$B$26)^(4-0.5*Assumptions!$B$32)</f>
        <v>0.6784504257008005</v>
      </c>
      <c r="F14" s="21">
        <f>1/(1+Assumptions!$B$26)^(5-0.5*Assumptions!$B$32)</f>
        <v>0.6072680594786847</v>
      </c>
    </row>
    <row r="15" spans="1:6" x14ac:dyDescent="0.25">
      <c r="A15" s="19" t="s">
        <v>51</v>
      </c>
      <c r="B15" s="20">
        <f>B13*B14</f>
        <v>593326797.09071</v>
      </c>
      <c r="C15" s="20">
        <f>C13*C14</f>
        <v>621430635.8126192</v>
      </c>
      <c r="D15" s="20">
        <f>D13*D14</f>
        <v>650865656.1949214</v>
      </c>
      <c r="E15" s="20">
        <f>E13*E14</f>
        <v>681694911.7097957</v>
      </c>
      <c r="F15" s="20">
        <f>F13*F14</f>
        <v>713984442.4543661</v>
      </c>
    </row>
    <row r="17" spans="1:2" x14ac:dyDescent="0.25">
      <c r="A17" s="22" t="s">
        <v>52</v>
      </c>
      <c r="B17" s="23">
        <f>SUM(B15:F15)</f>
        <v>3261302443.2624125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1175731921.5295024</v>
      </c>
    </row>
    <row r="5" spans="1:2" x14ac:dyDescent="0.25">
      <c r="A5" t="s">
        <v>56</v>
      </c>
      <c r="B5" s="18">
        <f>IF(Assumptions!$B$33=0,B4,B4-Forecast!F11-Forecast!F10-Forecast!F12)</f>
        <v>1363518308.4000244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0.2132789663045828</v>
      </c>
    </row>
    <row r="7" spans="1:2" x14ac:dyDescent="0.25">
      <c r="A7" t="s">
        <v>58</v>
      </c>
      <c r="B7" s="18">
        <f>-MAX(Forecast!F9,0)*B6</f>
        <v>-290809775.35293055</v>
      </c>
    </row>
    <row r="8" spans="1:2" x14ac:dyDescent="0.25">
      <c r="A8" t="s">
        <v>59</v>
      </c>
      <c r="B8" s="18">
        <f>IF(OR(Assumptions!$B$33=0,Assumptions!B12&lt;=0),B5,MAX(B5+B7,0))</f>
        <v>1072708533.0470939</v>
      </c>
    </row>
    <row r="9" spans="1:2" x14ac:dyDescent="0.25">
      <c r="A9" t="s">
        <v>60</v>
      </c>
      <c r="B9" s="18">
        <f>B8*(1+Assumptions!B12)/(Assumptions!B26-Assumptions!B12)</f>
        <v>11923200789.470152</v>
      </c>
    </row>
    <row r="10" spans="1:2" x14ac:dyDescent="0.25">
      <c r="A10" t="s">
        <v>61</v>
      </c>
      <c r="B10" s="18">
        <f>B9/(1+Assumptions!B26)^(5-0.5*Assumptions!B32)</f>
        <v>7240579006.19626</v>
      </c>
    </row>
    <row r="11" spans="1:2" x14ac:dyDescent="0.25">
      <c r="A11" t="s">
        <v>62</v>
      </c>
      <c r="B11" s="18">
        <f>Forecast!B17+B10</f>
        <v>10501881449.458673</v>
      </c>
    </row>
    <row r="12" spans="1:2" x14ac:dyDescent="0.25">
      <c r="A12" t="s">
        <v>63</v>
      </c>
      <c r="B12" s="18">
        <f>-Assumptions!B30</f>
        <v>-472000000</v>
      </c>
    </row>
    <row r="13" spans="1:2" x14ac:dyDescent="0.25">
      <c r="A13" t="s">
        <v>64</v>
      </c>
      <c r="B13" s="18">
        <f>B11+B12</f>
        <v>10029881449.458673</v>
      </c>
    </row>
    <row r="14" spans="1:2" x14ac:dyDescent="0.25">
      <c r="A14" s="19" t="s">
        <v>65</v>
      </c>
      <c r="B14" s="24">
        <f>B13/Assumptions!B31</f>
        <v>24.73460283466997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2190445499.504073</v>
      </c>
    </row>
    <row r="18" spans="1:2" x14ac:dyDescent="0.25">
      <c r="A18" t="s">
        <v>60</v>
      </c>
      <c r="B18" s="18">
        <f>B17*Assumptions!B13</f>
        <v>43808909990.08147</v>
      </c>
    </row>
    <row r="19" spans="1:2" x14ac:dyDescent="0.25">
      <c r="A19" t="s">
        <v>61</v>
      </c>
      <c r="B19" s="18">
        <f>B18/(1+Assumptions!B26)^(5-0.5*Assumptions!B32)</f>
        <v>26603751757.553135</v>
      </c>
    </row>
    <row r="20" spans="1:2" x14ac:dyDescent="0.25">
      <c r="A20" t="s">
        <v>62</v>
      </c>
      <c r="B20" s="18">
        <f>Forecast!B17+B19</f>
        <v>29865054200.815548</v>
      </c>
    </row>
    <row r="21" spans="1:2" x14ac:dyDescent="0.25">
      <c r="A21" t="s">
        <v>63</v>
      </c>
      <c r="B21" s="18">
        <f>-Assumptions!B30</f>
        <v>-472000000</v>
      </c>
    </row>
    <row r="22" spans="1:2" x14ac:dyDescent="0.25">
      <c r="A22" t="s">
        <v>64</v>
      </c>
      <c r="B22" s="18">
        <f>B20+B21</f>
        <v>29393054200.815548</v>
      </c>
    </row>
    <row r="23" spans="1:2" x14ac:dyDescent="0.25">
      <c r="A23" s="19" t="s">
        <v>65</v>
      </c>
      <c r="B23" s="25">
        <f>B22/Assumptions!B31</f>
        <v>72.4859536394958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89.35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24.73460283466997</v>
      </c>
    </row>
    <row r="29" spans="1:2" x14ac:dyDescent="0.25">
      <c r="A29" s="19" t="s">
        <v>73</v>
      </c>
      <c r="B29" s="12">
        <f>B28/B26-1</f>
        <v>-0.7231717645811979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0.097217</v>
      </c>
      <c r="B5" s="31">
        <v>30.691819155960403</v>
      </c>
      <c r="C5" s="31">
        <v>30.93374334968637</v>
      </c>
      <c r="D5" s="31">
        <v>31.19451488686519</v>
      </c>
      <c r="E5" s="31">
        <v>31.478339699802593</v>
      </c>
      <c r="F5" s="31">
        <v>31.790775741089952</v>
      </c>
    </row>
    <row r="6" spans="1:6" x14ac:dyDescent="0.25">
      <c r="A6" s="30">
        <v>0.107217</v>
      </c>
      <c r="B6" s="31">
        <v>27.19815197240711</v>
      </c>
      <c r="C6" s="31">
        <v>27.297310282050443</v>
      </c>
      <c r="D6" s="31">
        <v>27.39646859169377</v>
      </c>
      <c r="E6" s="31">
        <v>27.495626901337104</v>
      </c>
      <c r="F6" s="31">
        <v>27.59478521098043</v>
      </c>
    </row>
    <row r="7" spans="1:6" x14ac:dyDescent="0.25">
      <c r="A7" s="30">
        <v>0.117217</v>
      </c>
      <c r="B7" s="31">
        <v>24.56048828080437</v>
      </c>
      <c r="C7" s="31">
        <v>24.64759077832335</v>
      </c>
      <c r="D7" s="32">
        <v>24.73469327584232</v>
      </c>
      <c r="E7" s="31">
        <v>24.82179577336129</v>
      </c>
      <c r="F7" s="31">
        <v>24.90889827088026</v>
      </c>
    </row>
    <row r="8" spans="1:6" x14ac:dyDescent="0.25">
      <c r="A8" s="30">
        <v>0.127217</v>
      </c>
      <c r="B8" s="31">
        <v>22.347177308087012</v>
      </c>
      <c r="C8" s="31">
        <v>22.4242784987696</v>
      </c>
      <c r="D8" s="31">
        <v>22.501379689452172</v>
      </c>
      <c r="E8" s="31">
        <v>22.57848088013475</v>
      </c>
      <c r="F8" s="31">
        <v>22.655582070817335</v>
      </c>
    </row>
    <row r="9" spans="1:6" x14ac:dyDescent="0.25">
      <c r="A9" s="30">
        <v>0.137217</v>
      </c>
      <c r="B9" s="31">
        <v>20.464990877849903</v>
      </c>
      <c r="C9" s="31">
        <v>20.533687780267435</v>
      </c>
      <c r="D9" s="31">
        <v>20.602384682684978</v>
      </c>
      <c r="E9" s="31">
        <v>20.67108158510252</v>
      </c>
      <c r="F9" s="31">
        <v>20.739778487520052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4662000000</v>
      </c>
      <c r="C5" s="18">
        <v>4033000000</v>
      </c>
      <c r="D5" s="18">
        <v>3622300000</v>
      </c>
      <c r="E5" s="18">
        <v>2909800000</v>
      </c>
      <c r="F5" s="8" t="s">
        <v>84</v>
      </c>
    </row>
    <row r="6" spans="1:6" x14ac:dyDescent="0.25">
      <c r="A6" t="s">
        <v>44</v>
      </c>
      <c r="B6" s="18">
        <v>911800000</v>
      </c>
      <c r="C6" s="18">
        <v>600000000</v>
      </c>
      <c r="D6" s="18">
        <v>597700000</v>
      </c>
      <c r="E6" s="18">
        <v>391200000</v>
      </c>
      <c r="F6" s="8" t="s">
        <v>85</v>
      </c>
    </row>
    <row r="7" spans="1:6" x14ac:dyDescent="0.25">
      <c r="A7" t="s">
        <v>86</v>
      </c>
      <c r="B7" s="18">
        <v>251800000</v>
      </c>
      <c r="C7" s="18">
        <v>217700000</v>
      </c>
      <c r="D7" s="18">
        <v>186000000</v>
      </c>
      <c r="E7" s="18">
        <v>155900000</v>
      </c>
      <c r="F7" s="8" t="s">
        <v>87</v>
      </c>
    </row>
    <row r="8" spans="1:6" x14ac:dyDescent="0.25">
      <c r="A8" t="s">
        <v>88</v>
      </c>
      <c r="B8" s="18">
        <v>363500000</v>
      </c>
      <c r="C8" s="18">
        <v>358800000</v>
      </c>
      <c r="D8" s="18">
        <v>236600000</v>
      </c>
      <c r="E8" s="18">
        <v>364800000</v>
      </c>
      <c r="F8" s="8" t="s">
        <v>89</v>
      </c>
    </row>
    <row r="9" spans="1:6" x14ac:dyDescent="0.25">
      <c r="A9" t="s">
        <v>90</v>
      </c>
      <c r="B9" s="18">
        <v>-103400000</v>
      </c>
      <c r="C9" s="18">
        <v>-108800000</v>
      </c>
      <c r="D9" s="18">
        <v>-3200000</v>
      </c>
      <c r="E9" s="18">
        <v>-26700000</v>
      </c>
      <c r="F9" s="8" t="s">
        <v>91</v>
      </c>
    </row>
    <row r="10" spans="1:6" x14ac:dyDescent="0.25">
      <c r="A10" t="s">
        <v>92</v>
      </c>
      <c r="B10" s="18">
        <v>1389700000</v>
      </c>
      <c r="C10" s="18">
        <v>2587400000</v>
      </c>
      <c r="D10" s="18">
        <v>2594000000</v>
      </c>
      <c r="E10" s="18">
        <v>2145000000</v>
      </c>
      <c r="F10" s="8" t="s">
        <v>93</v>
      </c>
    </row>
    <row r="11" spans="1:6" x14ac:dyDescent="0.25">
      <c r="A11" t="s">
        <v>94</v>
      </c>
      <c r="B11" s="18">
        <v>917700000</v>
      </c>
      <c r="C11" s="18">
        <v>606100000</v>
      </c>
      <c r="D11" s="18">
        <v>566300000</v>
      </c>
      <c r="E11" s="18">
        <v>642300000</v>
      </c>
      <c r="F11" s="8" t="s">
        <v>95</v>
      </c>
    </row>
    <row r="12" spans="1:6" x14ac:dyDescent="0.25">
      <c r="A12" t="s">
        <v>32</v>
      </c>
      <c r="B12" s="34">
        <v>405500000</v>
      </c>
      <c r="C12" s="34">
        <v>412700000</v>
      </c>
      <c r="D12" s="34">
        <v>425500000</v>
      </c>
      <c r="E12" s="34">
        <v>427500000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2026-09-19T01:04:01Z</dcterms:modified>
</cp:coreProperties>
</file>