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<sst xmlns="http://schemas.openxmlformats.org/spreadsheetml/2006/main" count="121" uniqueCount="108">
  <si>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DexCom, Inc. (DXCM)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</si>
  <si>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</si>
  <si>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</si>
  <si>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</si>
  <si>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</si>
  <si>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</si>
  <si>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</si>
  <si>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</si>
  <si>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</si>
  <si>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</si>
  <si>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</si>
  <si>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</si>
  <si>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</si>
  <si>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</si>
  <si>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</si>
  <si>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</si>
  <si>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</si>
  <si>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</si>
  <si>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</si>
  <si>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</si>
  <si>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</si>
  <si>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</si>
  <si>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</si>
  <si>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</si>
  <si>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49.8x interest cover. Book interest / average debt was lower, at 0.9%.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</si>
  <si>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</si>
  <si>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</si>
  <si>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</si>
  <si>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</si>
  <si>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</si>
  <si>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</si>
  <si>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</si>
  <si>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</si>
  <si>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</si>
  <si>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</si>
  <si>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</si>
  <si>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</si>
  <si>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</si>
  <si>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</si>
  <si>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</si>
  <si>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</si>
  <si>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</si>
  <si>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</si>
  <si>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</si>
  <si>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</si>
  <si>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</si>
  <si>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</si>
  <si>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</si>
  <si>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</si>
  <si>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</si>
  <si>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</si>
  <si>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</si>
  <si>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</si>
  <si>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</si>
  <si>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</si>
  <si>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</si>
  <si>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</si>
  <si>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</si>
  <si>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</si>
  <si>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</si>
  <si>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</si>
  <si>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</si>
  <si>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</si>
  <si>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</si>
  <si>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</si>
  <si>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</si>
  <si>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</si>
  <si>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</si>
  <si>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</si>
  <si>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</si>
  <si>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</si>
  <si>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</si>
  <si>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</si>
  <si>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</si>
  <si>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</si>
  <si>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</si>
  <si>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</si>
  <si>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</si>
  <si>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</si>
  <si>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</si>
  <si>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</si>
  <si>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</si>
  <si>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</si>
  <si>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</si>
  <si>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</si>
  <si>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</si>
  <si>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</si>
  <si>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</si>
  <si>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</si>
  <si>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</si>
  <si>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</si>
  <si>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</si>
  <si>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</si>
  <si>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</si>
  <si>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</si>
  <si>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</si>
  <si>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</si>
  <si>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</si>
  <si>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</si>
  <si>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</si>
  <si>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</si>
  <si>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</si>
  <si>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</si>
  <si>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</si>
  <si>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</si>
  <si>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Adjusted: Capital expenditure runs at 8.9% of revenue against depreciation of 5.3%.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</si>
  <si>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27.1x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</si>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</sst>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0.12133075075075084</v>
      </c>
    </row>
    <row r="7" spans="1:2" x14ac:dyDescent="0.25">
      <c r="A7" t="s">
        <v>4</v>
      </c>
      <c r="B7" s="5">
        <v>0.1609504526280831</v>
      </c>
    </row>
    <row r="8" spans="1:2" x14ac:dyDescent="0.25">
      <c r="A8" t="s">
        <v>5</v>
      </c>
      <c r="B8" s="5">
        <v>0.20946523383660182</v>
      </c>
    </row>
    <row r="9" spans="1:2" x14ac:dyDescent="0.25">
      <c r="A9" t="s">
        <v>6</v>
      </c>
      <c r="B9" s="5">
        <v>0.05322924447378502</v>
      </c>
    </row>
    <row r="10" spans="1:3" x14ac:dyDescent="0.25">
      <c r="A10" t="s">
        <v>7</v>
      </c>
      <c r="B10" s="5">
        <v>0.08940597882484583</v>
      </c>
      <c r="C10" s="6" t="s">
        <v>8</v>
      </c>
    </row>
    <row r="11" spans="1:2" x14ac:dyDescent="0.25">
      <c r="A11" t="s">
        <v>9</v>
      </c>
      <c r="B11" s="5">
        <v>0.31011624337312416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0.10465964166330374</v>
      </c>
      <c r="C14" s="6" t="s">
        <v>13</v>
      </c>
    </row>
    <row r="15" spans="1:3" x14ac:dyDescent="0.25">
      <c r="A15" t="s">
        <v>14</v>
      </c>
      <c r="B15" s="5">
        <v>0.04552989042192974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1.31959</v>
      </c>
      <c r="C19" s="6" t="s">
        <v>21</v>
      </c>
    </row>
    <row r="20" spans="1:2" x14ac:dyDescent="0.25">
      <c r="A20" t="s">
        <v>22</v>
      </c>
      <c r="B20" s="9">
        <f>B17+B19*B18</f>
        <v>0.104758657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31053017088</v>
      </c>
    </row>
    <row r="23" spans="1:2" x14ac:dyDescent="0.25">
      <c r="A23" t="s">
        <v>26</v>
      </c>
      <c r="B23" s="10">
        <v>1389700000</v>
      </c>
    </row>
    <row r="24" spans="1:2" x14ac:dyDescent="0.25">
      <c r="A24" t="s">
        <v>27</v>
      </c>
      <c r="B24" s="9">
        <f>B22/(B22+B23)</f>
        <v>0.9571645002411334</v>
      </c>
    </row>
    <row r="25" spans="1:2" x14ac:dyDescent="0.25">
      <c r="A25" t="s">
        <v>28</v>
      </c>
      <c r="B25" s="9">
        <f>1-B24</f>
        <v>0.04283549975886658</v>
      </c>
    </row>
    <row r="26" spans="1:2" x14ac:dyDescent="0.25">
      <c r="A26" t="s">
        <v>29</v>
      </c>
      <c r="B26" s="11">
        <f>B24*B20+B25*B21*(1-B8)</f>
        <v>0.1020639722408547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4662000000</v>
      </c>
      <c r="C29" s="6" t="s">
        <v>32</v>
      </c>
    </row>
    <row r="30" spans="1:2" x14ac:dyDescent="0.25">
      <c r="A30" t="s">
        <v>33</v>
      </c>
      <c r="B30" s="10">
        <v>472000000</v>
      </c>
    </row>
    <row r="31" spans="1:2" x14ac:dyDescent="0.25">
      <c r="A31" t="s">
        <v>34</v>
      </c>
      <c r="B31" s="12">
        <v>405500000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0.12133075075075084</v>
      </c>
      <c r="C5" s="5">
        <v>0.10443913628731516</v>
      </c>
      <c r="D5" s="5">
        <v>0.09450924425140077</v>
      </c>
      <c r="E5" s="5">
        <v>0.08457935221548638</v>
      </c>
      <c r="F5" s="5">
        <v>0.07464946017957197</v>
      </c>
      <c r="G5" s="5">
        <v>0.06471956814365758</v>
      </c>
      <c r="H5" s="5">
        <v>0.054789676107743185</v>
      </c>
      <c r="I5" s="5">
        <v>0.044859784071828786</v>
      </c>
      <c r="J5" s="5">
        <v>0.03492989203591439</v>
      </c>
      <c r="K5" s="5">
        <v>0.024999999999999994</v>
      </c>
    </row>
    <row r="6" spans="1:11" x14ac:dyDescent="0.25">
      <c r="A6" t="s">
        <v>50</v>
      </c>
      <c r="B6" s="18">
        <f>Assumptions!B29*(1+B5)</f>
        <v>5227643960</v>
      </c>
      <c r="C6" s="18">
        <f>B6*(1+C5)</f>
        <v>5773614580</v>
      </c>
      <c r="D6" s="18">
        <f>C6*(1+D5)</f>
        <v>6319274530.554669</v>
      </c>
      <c r="E6" s="18">
        <f>D6*(1+E5)</f>
        <v>6853754676.820805</v>
      </c>
      <c r="F6" s="18">
        <f>E6*(1+F5)</f>
        <v>7365383763.648694</v>
      </c>
      <c r="G6" s="18">
        <f>F6*(1+G5)</f>
        <v>7842068220.044345</v>
      </c>
      <c r="H6" s="18">
        <f>G6*(1+H5)</f>
        <v>8271732597.8354</v>
      </c>
      <c r="I6" s="18">
        <f>H6*(1+I5)</f>
        <v>8642800736.074203</v>
      </c>
      <c r="J6" s="18">
        <f>I6*(1+J5)</f>
        <v>8944692832.673197</v>
      </c>
      <c r="K6" s="18">
        <f>J6*(1+K5)</f>
        <v>9168310153.490026</v>
      </c>
    </row>
    <row r="7" spans="1:11" x14ac:dyDescent="0.25">
      <c r="A7" t="s">
        <v>4</v>
      </c>
      <c r="B7" s="9">
        <f>Assumptions!B7</f>
        <v>0.1609504526280831</v>
      </c>
      <c r="C7" s="9">
        <f>Assumptions!B7</f>
        <v>0.1609504526280831</v>
      </c>
      <c r="D7" s="9">
        <f>Assumptions!B7</f>
        <v>0.1609504526280831</v>
      </c>
      <c r="E7" s="9">
        <f>Assumptions!B7</f>
        <v>0.1609504526280831</v>
      </c>
      <c r="F7" s="9">
        <f>Assumptions!B7</f>
        <v>0.1609504526280831</v>
      </c>
      <c r="G7" s="9">
        <f>Assumptions!B7</f>
        <v>0.1609504526280831</v>
      </c>
      <c r="H7" s="9">
        <f>Assumptions!B7</f>
        <v>0.1609504526280831</v>
      </c>
      <c r="I7" s="9">
        <f>Assumptions!B7</f>
        <v>0.1609504526280831</v>
      </c>
      <c r="J7" s="9">
        <f>Assumptions!B7</f>
        <v>0.1609504526280831</v>
      </c>
      <c r="K7" s="9">
        <f>Assumptions!B7</f>
        <v>0.1609504526280831</v>
      </c>
    </row>
    <row r="8" spans="1:11" x14ac:dyDescent="0.25">
      <c r="A8" t="s">
        <v>51</v>
      </c>
      <c r="B8" s="18">
        <f>B6*B7</f>
        <v>841391661.5404648</v>
      </c>
      <c r="C8" s="18">
        <f>C6*C7</f>
        <v>929265879.9511</v>
      </c>
      <c r="D8" s="18">
        <f>D6*D7</f>
        <v>1017090095.9738914</v>
      </c>
      <c r="E8" s="18">
        <f>E6*E7</f>
        <v>1103114917.43615</v>
      </c>
      <c r="F8" s="18">
        <f>F6*F7</f>
        <v>1185461850.5387917</v>
      </c>
      <c r="G8" s="18">
        <f>G6*G7</f>
        <v>1262184429.5564435</v>
      </c>
      <c r="H8" s="18">
        <f>H6*H7</f>
        <v>1331339105.6400774</v>
      </c>
      <c r="I8" s="18">
        <f>I6*I7</f>
        <v>1391062690.445473</v>
      </c>
      <c r="J8" s="18">
        <f>J6*J7</f>
        <v>1439652360.037922</v>
      </c>
      <c r="K8" s="18">
        <f>K6*K7</f>
        <v>1475643669.0388699</v>
      </c>
    </row>
    <row r="9" spans="1:11" x14ac:dyDescent="0.25">
      <c r="A9" t="s">
        <v>52</v>
      </c>
      <c r="B9" s="18">
        <f>B8*(1-Assumptions!B8)</f>
        <v>665149360.4077244</v>
      </c>
      <c r="C9" s="18">
        <f>C8*(1-Assumptions!B8)</f>
        <v>734616985.1107672</v>
      </c>
      <c r="D9" s="18">
        <f>D8*(1-Assumptions!B8)</f>
        <v>804045081.1878284</v>
      </c>
      <c r="E9" s="18">
        <f>E8*(1-Assumptions!B8)</f>
        <v>872050693.3067431</v>
      </c>
      <c r="F9" s="18">
        <f>F8*(1-Assumptions!B8)</f>
        <v>937148806.8113129</v>
      </c>
      <c r="G9" s="18">
        <f>G8*(1-Assumptions!B8)</f>
        <v>997800672.8744851</v>
      </c>
      <c r="H9" s="18">
        <f>H8*(1-Assumptions!B8)</f>
        <v>1052469848.5613662</v>
      </c>
      <c r="I9" s="18">
        <f>I8*(1-Assumptions!B8)</f>
        <v>1099683418.7099395</v>
      </c>
      <c r="J9" s="18">
        <f>J8*(1-Assumptions!B8)</f>
        <v>1138095241.7991629</v>
      </c>
      <c r="K9" s="18">
        <f>K8*(1-Assumptions!B8)</f>
        <v>1166547622.844142</v>
      </c>
    </row>
    <row r="10" spans="1:11" x14ac:dyDescent="0.25">
      <c r="A10" t="s">
        <v>53</v>
      </c>
      <c r="B10" s="18">
        <f>B6*Assumptions!B9</f>
        <v>278263538.3687456</v>
      </c>
      <c r="C10" s="18">
        <f>C6*Assumptions!B9</f>
        <v>307325141.9762296</v>
      </c>
      <c r="D10" s="18">
        <f>D6*Assumptions!B9</f>
        <v>336370208.88385755</v>
      </c>
      <c r="E10" s="18">
        <f>E6*Assumptions!B9</f>
        <v>364820183.25584203</v>
      </c>
      <c r="F10" s="18">
        <f>F6*Assumptions!B9</f>
        <v>392053812.99850315</v>
      </c>
      <c r="G10" s="18">
        <f>G6*Assumptions!B9</f>
        <v>417427366.4648406</v>
      </c>
      <c r="H10" s="18">
        <f>H6*Assumptions!B9</f>
        <v>440298076.6719574</v>
      </c>
      <c r="I10" s="18">
        <f>I6*Assumptions!B9</f>
        <v>460049753.3187029</v>
      </c>
      <c r="J10" s="18">
        <f>J6*Assumptions!B9</f>
        <v>476119241.53327423</v>
      </c>
      <c r="K10" s="18">
        <f>K6*Assumptions!B9</f>
        <v>488022222.5716061</v>
      </c>
    </row>
    <row r="11" spans="1:11" x14ac:dyDescent="0.25">
      <c r="A11" t="s">
        <v>54</v>
      </c>
      <c r="B11" s="18">
        <f>-B6*B19</f>
        <v>-467382625.19159317</v>
      </c>
      <c r="C11" s="18">
        <f>-C6*C19</f>
        <v>-508478805.2677428</v>
      </c>
      <c r="D11" s="18">
        <f>-D6*D19</f>
        <v>-548088580.8757466</v>
      </c>
      <c r="E11" s="18">
        <f>-E6*E19</f>
        <v>-585285014.2511191</v>
      </c>
      <c r="F11" s="18">
        <f>-F6*F19</f>
        <v>-619131851.2183316</v>
      </c>
      <c r="G11" s="18">
        <f>-G6*G19</f>
        <v>-648720300.2603862</v>
      </c>
      <c r="H11" s="18">
        <f>-H6*H19</f>
        <v>-673207700.5780331</v>
      </c>
      <c r="I11" s="18">
        <f>-I6*I19</f>
        <v>-691855918.17223</v>
      </c>
      <c r="J11" s="18">
        <f>-J6*J19</f>
        <v>-704067135.3706322</v>
      </c>
      <c r="K11" s="18">
        <f>-K6*K19</f>
        <v>-709414697.5439416</v>
      </c>
    </row>
    <row r="12" spans="1:11" x14ac:dyDescent="0.25">
      <c r="A12" t="s">
        <v>55</v>
      </c>
      <c r="B12" s="18">
        <f>-(B6-Assumptions!B29)*Assumptions!B11</f>
        <v>-175415379.9618977</v>
      </c>
      <c r="C12" s="18">
        <f>-(C6-B6)*Assumptions!B11</f>
        <v>-169314357.66649547</v>
      </c>
      <c r="D12" s="18">
        <f>-(D6-C6)*Assumptions!B11</f>
        <v>-169218014.02517873</v>
      </c>
      <c r="E12" s="18">
        <f>-(E6-D6)*Assumptions!B11</f>
        <v>-165750975.11757177</v>
      </c>
      <c r="F12" s="18">
        <f>-(F6-E6)*Assumptions!B11</f>
        <v>-158664490.40748703</v>
      </c>
      <c r="G12" s="18">
        <f>-(G6-F6)*Assumptions!B11</f>
        <v>-147827592.89177907</v>
      </c>
      <c r="H12" s="18">
        <f>-(H6-G6)*Assumptions!B11</f>
        <v>-133245902.75181268</v>
      </c>
      <c r="I12" s="18">
        <f>-(I6-H6)*Assumptions!B11</f>
        <v>-115074257.06607698</v>
      </c>
      <c r="J12" s="18">
        <f>-(J6-I6)*Assumptions!B11</f>
        <v>-93621642.90131612</v>
      </c>
      <c r="K12" s="18">
        <f>-(K6-J6)*Assumptions!B11</f>
        <v>-69347363.48487793</v>
      </c>
    </row>
    <row r="13" spans="1:11" x14ac:dyDescent="0.25">
      <c r="A13" s="19" t="s">
        <v>56</v>
      </c>
      <c r="B13" s="20">
        <f>B9+B10+B11+B12</f>
        <v>300614893.62297904</v>
      </c>
      <c r="C13" s="20">
        <f>C9+C10+C11+C12</f>
        <v>364148964.1527585</v>
      </c>
      <c r="D13" s="20">
        <f>D9+D10+D11+D12</f>
        <v>423108695.1707607</v>
      </c>
      <c r="E13" s="20">
        <f>E9+E10+E11+E12</f>
        <v>485834887.1938942</v>
      </c>
      <c r="F13" s="20">
        <f>F9+F10+F11+F12</f>
        <v>551406278.1839975</v>
      </c>
      <c r="G13" s="20">
        <f>G9+G10+G11+G12</f>
        <v>618680146.1871604</v>
      </c>
      <c r="H13" s="20">
        <f>H9+H10+H11+H12</f>
        <v>686314321.9034778</v>
      </c>
      <c r="I13" s="20">
        <f>I9+I10+I11+I12</f>
        <v>752802996.7903354</v>
      </c>
      <c r="J13" s="20">
        <f>J9+J10+J11+J12</f>
        <v>816525705.0604887</v>
      </c>
      <c r="K13" s="20">
        <f>K9+K10+K11+K12</f>
        <v>875807784.3869286</v>
      </c>
    </row>
    <row r="14" spans="1:11" x14ac:dyDescent="0.25">
      <c r="A14" t="s">
        <v>57</v>
      </c>
      <c r="B14" s="21">
        <f>1/(1+Assumptions!$B$26)^(1-0.5*Assumptions!$B$32)</f>
        <v>0.9525693368471047</v>
      </c>
      <c r="C14" s="21">
        <f>1/(1+Assumptions!$B$26)^(2-0.5*Assumptions!$B$32)</f>
        <v>0.8643503107267186</v>
      </c>
      <c r="D14" s="21">
        <f>1/(1+Assumptions!$B$26)^(3-0.5*Assumptions!$B$32)</f>
        <v>0.784301394926479</v>
      </c>
      <c r="E14" s="21">
        <f>1/(1+Assumptions!$B$26)^(4-0.5*Assumptions!$B$32)</f>
        <v>0.7116659419795195</v>
      </c>
      <c r="F14" s="21">
        <f>1/(1+Assumptions!$B$26)^(5-0.5*Assumptions!$B$32)</f>
        <v>0.6457573787957799</v>
      </c>
      <c r="G14" s="21">
        <f>1/(1+Assumptions!$B$26)^(6-0.5*Assumptions!$B$32)</f>
        <v>0.5859527169577506</v>
      </c>
      <c r="H14" s="21">
        <f>1/(1+Assumptions!$B$26)^(7-0.5*Assumptions!$B$32)</f>
        <v>0.5316866640384932</v>
      </c>
      <c r="I14" s="21">
        <f>1/(1+Assumptions!$B$26)^(8-0.5*Assumptions!$B$32)</f>
        <v>0.4824462802802647</v>
      </c>
      <c r="J14" s="21">
        <f>1/(1+Assumptions!$B$26)^(9-0.5*Assumptions!$B$32)</f>
        <v>0.4377661301269965</v>
      </c>
      <c r="K14" s="21">
        <f>1/(1+Assumptions!$B$26)^(10-0.5*Assumptions!$B$32)</f>
        <v>0.397223882781392</v>
      </c>
    </row>
    <row r="15" spans="1:11" x14ac:dyDescent="0.25">
      <c r="A15" s="19" t="s">
        <v>58</v>
      </c>
      <c r="B15" s="20">
        <f>B13*B14</f>
        <v>286356529.864804</v>
      </c>
      <c r="C15" s="20">
        <f>C13*C14</f>
        <v>314752270.3162495</v>
      </c>
      <c r="D15" s="20">
        <f>D13*D14</f>
        <v>331844739.82795</v>
      </c>
      <c r="E15" s="20">
        <f>E13*E14</f>
        <v>345752142.6413563</v>
      </c>
      <c r="F15" s="20">
        <f>F13*F14</f>
        <v>356074672.85163486</v>
      </c>
      <c r="G15" s="20">
        <f>G13*G14</f>
        <v>362517312.586185</v>
      </c>
      <c r="H15" s="20">
        <f>H13*H14</f>
        <v>364904172.2947007</v>
      </c>
      <c r="I15" s="20">
        <f>I13*I14</f>
        <v>363187005.58533335</v>
      </c>
      <c r="J15" s="20">
        <f>J13*J14</f>
        <v>357447298.05354744</v>
      </c>
      <c r="K15" s="20">
        <f>K13*K14</f>
        <v>347891768.68434393</v>
      </c>
    </row>
    <row r="17" spans="1:2" x14ac:dyDescent="0.25">
      <c r="A17" s="22" t="s">
        <v>59</v>
      </c>
      <c r="B17" s="23">
        <f>SUM(B15:K15)</f>
        <v>3430727912.7061048</v>
      </c>
    </row>
    <row r="19" spans="1:11" x14ac:dyDescent="0.25">
      <c r="A19" t="s">
        <v>7</v>
      </c>
      <c r="B19" s="9">
        <f>Assumptions!$B$10+($B$20-Assumptions!$B$10)*0/9</f>
        <v>0.08940597882484583</v>
      </c>
      <c r="C19" s="9">
        <f>Assumptions!$B$10+($B$20-Assumptions!$B$10)*1/9</f>
        <v>0.08806940578076183</v>
      </c>
      <c r="D19" s="9">
        <f>Assumptions!$B$10+($B$20-Assumptions!$B$10)*2/9</f>
        <v>0.08673283273667785</v>
      </c>
      <c r="E19" s="9">
        <f>Assumptions!$B$10+($B$20-Assumptions!$B$10)*3/9</f>
        <v>0.08539625969259386</v>
      </c>
      <c r="F19" s="9">
        <f>Assumptions!$B$10+($B$20-Assumptions!$B$10)*4/9</f>
        <v>0.08405968664850988</v>
      </c>
      <c r="G19" s="9">
        <f>Assumptions!$B$10+($B$20-Assumptions!$B$10)*5/9</f>
        <v>0.08272311360442589</v>
      </c>
      <c r="H19" s="9">
        <f>Assumptions!$B$10+($B$20-Assumptions!$B$10)*6/9</f>
        <v>0.0813865405603419</v>
      </c>
      <c r="I19" s="9">
        <f>Assumptions!$B$10+($B$20-Assumptions!$B$10)*7/9</f>
        <v>0.08004996751625791</v>
      </c>
      <c r="J19" s="9">
        <f>Assumptions!$B$10+($B$20-Assumptions!$B$10)*8/9</f>
        <v>0.07871339447217393</v>
      </c>
      <c r="K19" s="9">
        <f>Assumptions!$B$10+($B$20-Assumptions!$B$10)*9/9</f>
        <v>0.07737682142808994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0.07737682142808994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875807784.3869286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1222351524.1067348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0.2388695355983205</v>
      </c>
    </row>
    <row r="7" spans="1:2" x14ac:dyDescent="0.25">
      <c r="A7" t="s">
        <v>66</v>
      </c>
      <c r="B7" s="18">
        <f>-MAX(B5,0)*B6</f>
        <v>-291982540.901275</v>
      </c>
    </row>
    <row r="8" spans="1:2" x14ac:dyDescent="0.25">
      <c r="A8" t="s">
        <v>67</v>
      </c>
      <c r="B8" s="18">
        <f>IF(OR(Assumptions!$B$33=0,Assumptions!B12&lt;=0),B5,MAX(B5+B7,0))</f>
        <v>930368983.2054598</v>
      </c>
    </row>
    <row r="9" spans="1:2" x14ac:dyDescent="0.25">
      <c r="A9" t="s">
        <v>68</v>
      </c>
      <c r="B9" s="18">
        <f>B8*(1+Assumptions!B12)/(Assumptions!B26-Assumptions!B12)</f>
        <v>12374501080.80517</v>
      </c>
    </row>
    <row r="10" spans="1:2" x14ac:dyDescent="0.25">
      <c r="A10" t="s">
        <v>69</v>
      </c>
      <c r="B10" s="18">
        <f>B9/(1+Assumptions!B26)^(10-0.5*Assumptions!B32)</f>
        <v>4915447366.799961</v>
      </c>
    </row>
    <row r="11" spans="1:2" x14ac:dyDescent="0.25">
      <c r="A11" t="s">
        <v>70</v>
      </c>
      <c r="B11" s="18">
        <f>Forecast!B17+B10</f>
        <v>8346175279.506065</v>
      </c>
    </row>
    <row r="12" spans="1:2" x14ac:dyDescent="0.25">
      <c r="A12" t="s">
        <v>71</v>
      </c>
      <c r="B12" s="18">
        <f>-Assumptions!B30</f>
        <v>-472000000</v>
      </c>
    </row>
    <row r="13" spans="1:2" x14ac:dyDescent="0.25">
      <c r="A13" t="s">
        <v>72</v>
      </c>
      <c r="B13" s="18">
        <f>B11+B12</f>
        <v>7874175279.506065</v>
      </c>
    </row>
    <row r="14" spans="1:2" x14ac:dyDescent="0.25">
      <c r="A14" s="19" t="s">
        <v>73</v>
      </c>
      <c r="B14" s="24">
        <f>B13/Assumptions!B31</f>
        <v>19.418434721346646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1963665891.610476</v>
      </c>
    </row>
    <row r="18" spans="1:2" x14ac:dyDescent="0.25">
      <c r="A18" t="s">
        <v>68</v>
      </c>
      <c r="B18" s="18">
        <f>B17*Assumptions!B13</f>
        <v>39273317832.20952</v>
      </c>
    </row>
    <row r="19" spans="1:2" x14ac:dyDescent="0.25">
      <c r="A19" t="s">
        <v>69</v>
      </c>
      <c r="B19" s="18">
        <f>B18/(1+Assumptions!B26)^(10-0.5*Assumptions!B32)</f>
        <v>15600299799.017944</v>
      </c>
    </row>
    <row r="20" spans="1:2" x14ac:dyDescent="0.25">
      <c r="A20" t="s">
        <v>70</v>
      </c>
      <c r="B20" s="18">
        <f>Forecast!B17+B19</f>
        <v>19031027711.72405</v>
      </c>
    </row>
    <row r="21" spans="1:2" x14ac:dyDescent="0.25">
      <c r="A21" t="s">
        <v>71</v>
      </c>
      <c r="B21" s="18">
        <f>-Assumptions!B30</f>
        <v>-472000000</v>
      </c>
    </row>
    <row r="22" spans="1:2" x14ac:dyDescent="0.25">
      <c r="A22" t="s">
        <v>72</v>
      </c>
      <c r="B22" s="18">
        <f>B20+B21</f>
        <v>18559027711.72405</v>
      </c>
    </row>
    <row r="23" spans="1:2" x14ac:dyDescent="0.25">
      <c r="A23" s="19" t="s">
        <v>73</v>
      </c>
      <c r="B23" s="25">
        <f>B22/Assumptions!B31</f>
        <v>45.76825576257472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82.29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19.418434721346646</v>
      </c>
    </row>
    <row r="29" spans="1:2" x14ac:dyDescent="0.25">
      <c r="A29" s="19" t="s">
        <v>81</v>
      </c>
      <c r="B29" s="11">
        <f>B28/B26-1</f>
        <v>-0.7640243684366673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0.082064</v>
      </c>
      <c r="B5" s="31">
        <v>27.37619255505369</v>
      </c>
      <c r="C5" s="31">
        <v>27.467189469176326</v>
      </c>
      <c r="D5" s="31">
        <v>27.62826398197335</v>
      </c>
      <c r="E5" s="31">
        <v>27.879605936332673</v>
      </c>
      <c r="F5" s="31">
        <v>28.249984914598222</v>
      </c>
    </row>
    <row r="6" spans="1:6" x14ac:dyDescent="0.25">
      <c r="A6" s="30">
        <v>0.092064</v>
      </c>
      <c r="B6" s="31">
        <v>23.148229215574784</v>
      </c>
      <c r="C6" s="31">
        <v>23.010597671655503</v>
      </c>
      <c r="D6" s="31">
        <v>22.896004308467315</v>
      </c>
      <c r="E6" s="31">
        <v>22.81001713179405</v>
      </c>
      <c r="F6" s="31">
        <v>22.760155642507073</v>
      </c>
    </row>
    <row r="7" spans="1:6" x14ac:dyDescent="0.25">
      <c r="A7" s="30">
        <v>0.102064</v>
      </c>
      <c r="B7" s="31">
        <v>19.922681537271153</v>
      </c>
      <c r="C7" s="31">
        <v>19.66906797654674</v>
      </c>
      <c r="D7" s="32">
        <v>19.41842635540521</v>
      </c>
      <c r="E7" s="31">
        <v>19.171375278055933</v>
      </c>
      <c r="F7" s="31">
        <v>18.92871783045984</v>
      </c>
    </row>
    <row r="8" spans="1:6" x14ac:dyDescent="0.25">
      <c r="A8" s="30">
        <v>0.112064</v>
      </c>
      <c r="B8" s="31">
        <v>17.55870922980972</v>
      </c>
      <c r="C8" s="31">
        <v>17.314068259821052</v>
      </c>
      <c r="D8" s="31">
        <v>17.069427289832387</v>
      </c>
      <c r="E8" s="31">
        <v>16.82478631984372</v>
      </c>
      <c r="F8" s="31">
        <v>16.58014534985506</v>
      </c>
    </row>
    <row r="9" spans="1:6" x14ac:dyDescent="0.25">
      <c r="A9" s="30">
        <v>0.122064</v>
      </c>
      <c r="B9" s="31">
        <v>15.670008967130174</v>
      </c>
      <c r="C9" s="31">
        <v>15.457070837130242</v>
      </c>
      <c r="D9" s="31">
        <v>15.24413270713031</v>
      </c>
      <c r="E9" s="31">
        <v>15.031194577130373</v>
      </c>
      <c r="F9" s="31">
        <v>14.81825644713044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4662000000</v>
      </c>
      <c r="C5" s="18">
        <v>4033000000</v>
      </c>
      <c r="D5" s="18">
        <v>3622300000</v>
      </c>
      <c r="E5" s="18">
        <v>2909800000</v>
      </c>
      <c r="F5" s="6" t="s">
        <v>91</v>
      </c>
    </row>
    <row r="6" spans="1:6" x14ac:dyDescent="0.25">
      <c r="A6" t="s">
        <v>51</v>
      </c>
      <c r="B6" s="18">
        <v>911800000</v>
      </c>
      <c r="C6" s="18">
        <v>600000000</v>
      </c>
      <c r="D6" s="18">
        <v>597700000</v>
      </c>
      <c r="E6" s="18">
        <v>391200000</v>
      </c>
      <c r="F6" s="6" t="s">
        <v>92</v>
      </c>
    </row>
    <row r="7" spans="1:6" x14ac:dyDescent="0.25">
      <c r="A7" t="s">
        <v>93</v>
      </c>
      <c r="B7" s="18">
        <v>251800000</v>
      </c>
      <c r="C7" s="18">
        <v>217700000</v>
      </c>
      <c r="D7" s="18">
        <v>186000000</v>
      </c>
      <c r="E7" s="18">
        <v>155900000</v>
      </c>
      <c r="F7" s="6" t="s">
        <v>94</v>
      </c>
    </row>
    <row r="8" spans="1:6" x14ac:dyDescent="0.25">
      <c r="A8" t="s">
        <v>95</v>
      </c>
      <c r="B8" s="18">
        <v>363500000</v>
      </c>
      <c r="C8" s="18">
        <v>358800000</v>
      </c>
      <c r="D8" s="18">
        <v>236600000</v>
      </c>
      <c r="E8" s="18">
        <v>364800000</v>
      </c>
      <c r="F8" s="6" t="s">
        <v>96</v>
      </c>
    </row>
    <row r="9" spans="1:6" x14ac:dyDescent="0.25">
      <c r="A9" t="s">
        <v>97</v>
      </c>
      <c r="B9" s="18">
        <v>-103400000</v>
      </c>
      <c r="C9" s="18">
        <v>-108800000</v>
      </c>
      <c r="D9" s="18">
        <v>-3200000</v>
      </c>
      <c r="E9" s="18">
        <v>-26700000</v>
      </c>
      <c r="F9" s="6" t="s">
        <v>98</v>
      </c>
    </row>
    <row r="10" spans="1:6" x14ac:dyDescent="0.25">
      <c r="A10" t="s">
        <v>99</v>
      </c>
      <c r="B10" s="18">
        <v>1389700000</v>
      </c>
      <c r="C10" s="18">
        <v>2587400000</v>
      </c>
      <c r="D10" s="18">
        <v>2594000000</v>
      </c>
      <c r="E10" s="18">
        <v>2145000000</v>
      </c>
      <c r="F10" s="6" t="s">
        <v>100</v>
      </c>
    </row>
    <row r="11" spans="1:6" x14ac:dyDescent="0.25">
      <c r="A11" t="s">
        <v>101</v>
      </c>
      <c r="B11" s="18">
        <v>917700000</v>
      </c>
      <c r="C11" s="18">
        <v>606100000</v>
      </c>
      <c r="D11" s="18">
        <v>566300000</v>
      </c>
      <c r="E11" s="18">
        <v>642300000</v>
      </c>
      <c r="F11" s="6" t="s">
        <v>102</v>
      </c>
    </row>
    <row r="12" spans="1:6" x14ac:dyDescent="0.25">
      <c r="A12" t="s">
        <v>34</v>
      </c>
      <c r="B12" s="34">
        <v>405500000</v>
      </c>
      <c r="C12" s="34">
        <v>412700000</v>
      </c>
      <c r="D12" s="34">
        <v>425500000</v>
      </c>
      <c r="E12" s="34">
        <v>427500000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