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<sst xmlns="http://schemas.openxmlformats.org/spreadsheetml/2006/main" count="113" uniqueCount="101">
  <si>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DEXUS (DXS.AX)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</si>
  <si>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</si>
  <si>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</si>
  <si>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</si>
  <si>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</si>
  <si>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</si>
  <si>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</si>
  <si>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</si>
  <si>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</si>
  <si>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</si>
  <si>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</si>
  <si>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</si>
  <si>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</si>
  <si>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</si>
  <si>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</si>
  <si>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</si>
  <si>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</si>
  <si>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</si>
  <si>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</si>
  <si>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</si>
  <si>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</si>
  <si>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</si>
  <si>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</si>
  <si>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</si>
  <si>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</si>
  <si>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</si>
  <si>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</si>
  <si>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</si>
  <si>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</si>
  <si>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</si>
  <si>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</si>
  <si>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</si>
  <si>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</si>
  <si>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</si>
  <si>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</si>
  <si>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</si>
  <si>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</si>
  <si>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</si>
  <si>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</si>
  <si>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</si>
  <si>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</si>
  <si>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</si>
  <si>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</si>
  <si>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</si>
  <si>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</si>
  <si>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</si>
  <si>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</si>
  <si>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</si>
  <si>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</si>
  <si>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</si>
  <si>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</si>
  <si>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</si>
  <si>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</si>
  <si>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</si>
  <si>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</si>
  <si>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</si>
  <si>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</si>
  <si>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</si>
  <si>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</si>
  <si>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</si>
  <si>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</si>
  <si>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</si>
  <si>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</si>
  <si>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</si>
  <si>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</si>
  <si>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</si>
  <si>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</si>
  <si>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</si>
  <si>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</si>
  <si>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</si>
  <si>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</si>
  <si>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</si>
  <si>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</si>
  <si>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</si>
  <si>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</si>
  <si>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</si>
  <si>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</si>
  <si>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</si>
  <si>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</si>
  <si>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</si>
  <si>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</si>
  <si>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</si>
  <si>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</si>
  <si>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</si>
  <si>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</si>
  <si>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</si>
  <si>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</si>
  <si>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</si>
  <si>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</si>
  <si>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</si>
  <si>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</si>
  <si>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</si>
  <si>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</si>
  <si>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</si>
  <si>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</si>
  <si>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</si>
  <si>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</si>
  <si>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</si>
  <si>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</si>
  <si>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Current EV/EBITDA of 43.2x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</si>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</sst>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-0.07541887303380479</v>
      </c>
    </row>
    <row r="7" spans="1:2" x14ac:dyDescent="0.25">
      <c r="A7" t="s">
        <v>5</v>
      </c>
      <c r="B7" s="6">
        <v>0.41020290873353593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0.019444114796178455</v>
      </c>
    </row>
    <row r="10" spans="1:2" x14ac:dyDescent="0.25">
      <c r="A10" t="s">
        <v>8</v>
      </c>
      <c r="B10" s="6">
        <v>0.019300041766939918</v>
      </c>
    </row>
    <row r="11" spans="1:2" x14ac:dyDescent="0.25">
      <c r="A11" t="s">
        <v>9</v>
      </c>
      <c r="B11" s="6">
        <v>-0.025858741798533386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0.07435947849233296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0.82915</v>
      </c>
      <c r="C19" s="8" t="s">
        <v>19</v>
      </c>
    </row>
    <row r="20" spans="1:2" x14ac:dyDescent="0.25">
      <c r="A20" t="s">
        <v>20</v>
      </c>
      <c r="B20" s="10">
        <f>B17+B19*B18</f>
        <v>0.103229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5952874496</v>
      </c>
    </row>
    <row r="23" spans="1:2" x14ac:dyDescent="0.25">
      <c r="A23" t="s">
        <v>24</v>
      </c>
      <c r="B23" s="11">
        <v>4654400000</v>
      </c>
    </row>
    <row r="24" spans="1:2" x14ac:dyDescent="0.25">
      <c r="A24" t="s">
        <v>25</v>
      </c>
      <c r="B24" s="10">
        <f>B22/(B22+B23)</f>
        <v>0.5612067923993884</v>
      </c>
    </row>
    <row r="25" spans="1:2" x14ac:dyDescent="0.25">
      <c r="A25" t="s">
        <v>26</v>
      </c>
      <c r="B25" s="10">
        <f>1-B24</f>
        <v>0.4387932076006116</v>
      </c>
    </row>
    <row r="26" spans="1:2" x14ac:dyDescent="0.25">
      <c r="A26" t="s">
        <v>27</v>
      </c>
      <c r="B26" s="12">
        <f>B24*B20+B25*B21*(1-B8)</f>
        <v>0.07435947849233296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662100000</v>
      </c>
      <c r="C29" s="8" t="s">
        <v>30</v>
      </c>
    </row>
    <row r="30" spans="1:2" x14ac:dyDescent="0.25">
      <c r="A30" t="s">
        <v>31</v>
      </c>
      <c r="B30" s="11">
        <v>4596600000</v>
      </c>
    </row>
    <row r="31" spans="1:2" x14ac:dyDescent="0.25">
      <c r="A31" t="s">
        <v>32</v>
      </c>
      <c r="B31" s="13">
        <v>1118563313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-0.07541887303380479</v>
      </c>
      <c r="C5" s="10">
        <f>Assumptions!B6</f>
        <v>-0.07541887303380479</v>
      </c>
      <c r="D5" s="10">
        <f>Assumptions!B6</f>
        <v>-0.07541887303380479</v>
      </c>
      <c r="E5" s="10">
        <f>Assumptions!B6</f>
        <v>-0.07541887303380479</v>
      </c>
      <c r="F5" s="10">
        <f>Assumptions!B6</f>
        <v>-0.07541887303380479</v>
      </c>
    </row>
    <row r="6" spans="1:6" x14ac:dyDescent="0.25">
      <c r="A6" t="s">
        <v>43</v>
      </c>
      <c r="B6" s="18">
        <f>Assumptions!B29*(1+B5)</f>
        <v>612165164.1643178</v>
      </c>
      <c r="C6" s="18">
        <f>B6*(1+C5)</f>
        <v>565996357.3724909</v>
      </c>
      <c r="D6" s="18">
        <f>C6*(1+D5)</f>
        <v>523309549.958219</v>
      </c>
      <c r="E6" s="18">
        <f>D6*(1+E5)</f>
        <v>483842133.45254254</v>
      </c>
      <c r="F6" s="18">
        <f>E6*(1+F5)</f>
        <v>447351305.02128</v>
      </c>
    </row>
    <row r="7" spans="1:6" x14ac:dyDescent="0.25">
      <c r="A7" t="s">
        <v>5</v>
      </c>
      <c r="B7" s="10">
        <f>Assumptions!B7</f>
        <v>0.41020290873353593</v>
      </c>
      <c r="C7" s="10">
        <f>Assumptions!B7</f>
        <v>0.41020290873353593</v>
      </c>
      <c r="D7" s="10">
        <f>Assumptions!B7</f>
        <v>0.41020290873353593</v>
      </c>
      <c r="E7" s="10">
        <f>Assumptions!B7</f>
        <v>0.41020290873353593</v>
      </c>
      <c r="F7" s="10">
        <f>Assumptions!B7</f>
        <v>0.41020290873353593</v>
      </c>
    </row>
    <row r="8" spans="1:6" x14ac:dyDescent="0.25">
      <c r="A8" t="s">
        <v>44</v>
      </c>
      <c r="B8" s="18">
        <f>B6*B7</f>
        <v>251111930.9655457</v>
      </c>
      <c r="C8" s="18">
        <f>C6*C7</f>
        <v>232173352.12678167</v>
      </c>
      <c r="D8" s="18">
        <f>D6*D7</f>
        <v>214663099.56089908</v>
      </c>
      <c r="E8" s="18">
        <f>E6*E7</f>
        <v>198473450.51007262</v>
      </c>
      <c r="F8" s="18">
        <f>F6*F7</f>
        <v>183504806.54547232</v>
      </c>
    </row>
    <row r="9" spans="1:6" x14ac:dyDescent="0.25">
      <c r="A9" t="s">
        <v>45</v>
      </c>
      <c r="B9" s="18">
        <f>B8*(1-Assumptions!B8)</f>
        <v>175778351.67588198</v>
      </c>
      <c r="C9" s="18">
        <f>C8*(1-Assumptions!B8)</f>
        <v>162521346.48874715</v>
      </c>
      <c r="D9" s="18">
        <f>D8*(1-Assumptions!B8)</f>
        <v>150264169.69262934</v>
      </c>
      <c r="E9" s="18">
        <f>E8*(1-Assumptions!B8)</f>
        <v>138931415.35705084</v>
      </c>
      <c r="F9" s="18">
        <f>F8*(1-Assumptions!B8)</f>
        <v>128453364.58183062</v>
      </c>
    </row>
    <row r="10" spans="1:6" x14ac:dyDescent="0.25">
      <c r="A10" t="s">
        <v>46</v>
      </c>
      <c r="B10" s="18">
        <f>B6*Assumptions!B9</f>
        <v>11903009.726232426</v>
      </c>
      <c r="C10" s="18">
        <f>C6*Assumptions!B9</f>
        <v>11005298.146969559</v>
      </c>
      <c r="D10" s="18">
        <f>D6*Assumptions!B9</f>
        <v>10175290.963324094</v>
      </c>
      <c r="E10" s="18">
        <f>E6*Assumptions!B9</f>
        <v>9407881.986079132</v>
      </c>
      <c r="F10" s="18">
        <f>F6*Assumptions!B9</f>
        <v>8698350.129054012</v>
      </c>
    </row>
    <row r="11" spans="1:6" x14ac:dyDescent="0.25">
      <c r="A11" t="s">
        <v>47</v>
      </c>
      <c r="B11" s="18">
        <f>-B6*Assumptions!B10</f>
        <v>-11814813.236636966</v>
      </c>
      <c r="C11" s="18">
        <f>-C6*Assumptions!B10</f>
        <v>-10923753.337224927</v>
      </c>
      <c r="D11" s="18">
        <f>-D6*Assumptions!B10</f>
        <v>-10099896.171232158</v>
      </c>
      <c r="E11" s="18">
        <f>-E6*Assumptions!B10</f>
        <v>-9338173.384239389</v>
      </c>
      <c r="F11" s="18">
        <f>-F6*Assumptions!B10</f>
        <v>-8633898.871405782</v>
      </c>
    </row>
    <row r="12" spans="1:6" x14ac:dyDescent="0.25">
      <c r="A12" t="s">
        <v>48</v>
      </c>
      <c r="B12" s="18">
        <f>-(B6-Assumptions!B29)*Assumptions!B11</f>
        <v>-1291252.026627057</v>
      </c>
      <c r="C12" s="18">
        <f>-(C6-B6)*Assumptions!B11</f>
        <v>-1193867.253976228</v>
      </c>
      <c r="D12" s="18">
        <f>-(D6-C6)*Assumptions!B11</f>
        <v>-1103827.1311293775</v>
      </c>
      <c r="E12" s="18">
        <f>-(E6-D6)*Assumptions!B11</f>
        <v>-1020577.732875462</v>
      </c>
      <c r="F12" s="18">
        <f>-(F6-E6)*Assumptions!B11</f>
        <v>-943606.9104185995</v>
      </c>
    </row>
    <row r="13" spans="1:6" x14ac:dyDescent="0.25">
      <c r="A13" s="19" t="s">
        <v>49</v>
      </c>
      <c r="B13" s="20">
        <f>B9+B10+B11+B12</f>
        <v>174575296.1388504</v>
      </c>
      <c r="C13" s="20">
        <f>C9+C10+C11+C12</f>
        <v>161409024.04451555</v>
      </c>
      <c r="D13" s="20">
        <f>D9+D10+D11+D12</f>
        <v>149235737.3535919</v>
      </c>
      <c r="E13" s="20">
        <f>E9+E10+E11+E12</f>
        <v>137980546.22601512</v>
      </c>
      <c r="F13" s="20">
        <f>F9+F10+F11+F12</f>
        <v>127574208.92906025</v>
      </c>
    </row>
    <row r="14" spans="1:6" x14ac:dyDescent="0.25">
      <c r="A14" t="s">
        <v>50</v>
      </c>
      <c r="B14" s="21">
        <f>1/(1+Assumptions!$B$26)^(1-0.5*Assumptions!$B$32)</f>
        <v>0.964773109459029</v>
      </c>
      <c r="C14" s="21">
        <f>1/(1+Assumptions!$B$26)^(2-0.5*Assumptions!$B$32)</f>
        <v>0.8979984155888976</v>
      </c>
      <c r="D14" s="21">
        <f>1/(1+Assumptions!$B$26)^(3-0.5*Assumptions!$B$32)</f>
        <v>0.8358453884067502</v>
      </c>
      <c r="E14" s="21">
        <f>1/(1+Assumptions!$B$26)^(4-0.5*Assumptions!$B$32)</f>
        <v>0.7779941492020029</v>
      </c>
      <c r="F14" s="21">
        <f>1/(1+Assumptions!$B$26)^(5-0.5*Assumptions!$B$32)</f>
        <v>0.7241469589804108</v>
      </c>
    </row>
    <row r="15" spans="1:6" x14ac:dyDescent="0.25">
      <c r="A15" s="19" t="s">
        <v>51</v>
      </c>
      <c r="B15" s="20">
        <f>B13*B14</f>
        <v>168425551.2906095</v>
      </c>
      <c r="C15" s="20">
        <f>C13*C14</f>
        <v>144945047.85372522</v>
      </c>
      <c r="D15" s="20">
        <f>D13*D14</f>
        <v>124738002.85248077</v>
      </c>
      <c r="E15" s="20">
        <f>E13*E14</f>
        <v>107348057.66753627</v>
      </c>
      <c r="F15" s="20">
        <f>F13*F14</f>
        <v>92382475.44031055</v>
      </c>
    </row>
    <row r="17" spans="1:2" x14ac:dyDescent="0.25">
      <c r="A17" s="22" t="s">
        <v>52</v>
      </c>
      <c r="B17" s="23">
        <f>SUM(B15:F15)</f>
        <v>637839135.1046624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127574208.92906025</v>
      </c>
    </row>
    <row r="5" spans="1:2" x14ac:dyDescent="0.25">
      <c r="A5" t="s">
        <v>56</v>
      </c>
      <c r="B5" s="18">
        <f>IF(Assumptions!$B$33=0,B4,B4-Forecast!F11-Forecast!F10-Forecast!F12)</f>
        <v>128453364.58183062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0.3362046171770516</v>
      </c>
    </row>
    <row r="7" spans="1:2" x14ac:dyDescent="0.25">
      <c r="A7" t="s">
        <v>58</v>
      </c>
      <c r="B7" s="18">
        <f>-MAX(Forecast!F9,0)*B6</f>
        <v>-43186614.2643386</v>
      </c>
    </row>
    <row r="8" spans="1:2" x14ac:dyDescent="0.25">
      <c r="A8" t="s">
        <v>59</v>
      </c>
      <c r="B8" s="18">
        <f>IF(OR(Assumptions!$B$33=0,Assumptions!B12&lt;=0),B5,MAX(B5+B7,0))</f>
        <v>85266750.31749202</v>
      </c>
    </row>
    <row r="9" spans="1:2" x14ac:dyDescent="0.25">
      <c r="A9" t="s">
        <v>60</v>
      </c>
      <c r="B9" s="18">
        <f>B8*(1+Assumptions!B12)/(Assumptions!B26-Assumptions!B12)</f>
        <v>1770651184.8378823</v>
      </c>
    </row>
    <row r="10" spans="1:2" x14ac:dyDescent="0.25">
      <c r="A10" t="s">
        <v>61</v>
      </c>
      <c r="B10" s="18">
        <f>B9/(1+Assumptions!B26)^(5-0.5*Assumptions!B32)</f>
        <v>1282211670.9154139</v>
      </c>
    </row>
    <row r="11" spans="1:2" x14ac:dyDescent="0.25">
      <c r="A11" t="s">
        <v>62</v>
      </c>
      <c r="B11" s="18">
        <f>Forecast!B17+B10</f>
        <v>1920050806.0200763</v>
      </c>
    </row>
    <row r="12" spans="1:2" x14ac:dyDescent="0.25">
      <c r="A12" t="s">
        <v>63</v>
      </c>
      <c r="B12" s="18">
        <f>-Assumptions!B30</f>
        <v>-4596600000</v>
      </c>
    </row>
    <row r="13" spans="1:2" x14ac:dyDescent="0.25">
      <c r="A13" t="s">
        <v>64</v>
      </c>
      <c r="B13" s="18">
        <f>B11+B12</f>
        <v>-2676549193.9799237</v>
      </c>
    </row>
    <row r="14" spans="1:2" x14ac:dyDescent="0.25">
      <c r="A14" s="19" t="s">
        <v>65</v>
      </c>
      <c r="B14" s="24">
        <f>B13/Assumptions!B31</f>
        <v>-2.3928455035785032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192203156.67452633</v>
      </c>
    </row>
    <row r="18" spans="1:2" x14ac:dyDescent="0.25">
      <c r="A18" t="s">
        <v>60</v>
      </c>
      <c r="B18" s="18">
        <f>B17*Assumptions!B13</f>
        <v>3844063133.4905267</v>
      </c>
    </row>
    <row r="19" spans="1:2" x14ac:dyDescent="0.25">
      <c r="A19" t="s">
        <v>61</v>
      </c>
      <c r="B19" s="18">
        <f>B18/(1+Assumptions!B26)^(5-0.5*Assumptions!B32)</f>
        <v>2783666628.245874</v>
      </c>
    </row>
    <row r="20" spans="1:2" x14ac:dyDescent="0.25">
      <c r="A20" t="s">
        <v>62</v>
      </c>
      <c r="B20" s="18">
        <f>Forecast!B17+B19</f>
        <v>3421505763.3505363</v>
      </c>
    </row>
    <row r="21" spans="1:2" x14ac:dyDescent="0.25">
      <c r="A21" t="s">
        <v>63</v>
      </c>
      <c r="B21" s="18">
        <f>-Assumptions!B30</f>
        <v>-4596600000</v>
      </c>
    </row>
    <row r="22" spans="1:2" x14ac:dyDescent="0.25">
      <c r="A22" t="s">
        <v>64</v>
      </c>
      <c r="B22" s="18">
        <f>B20+B21</f>
        <v>-1175094236.6494637</v>
      </c>
    </row>
    <row r="23" spans="1:2" x14ac:dyDescent="0.25">
      <c r="A23" s="19" t="s">
        <v>65</v>
      </c>
      <c r="B23" s="25">
        <f>B22/Assumptions!B31</f>
        <v>-1.050538868021558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5.55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-2.3928455035785032</v>
      </c>
    </row>
    <row r="29" spans="1:2" x14ac:dyDescent="0.25">
      <c r="A29" s="19" t="s">
        <v>73</v>
      </c>
      <c r="B29" s="12">
        <f>B28/B26-1</f>
        <v>-1.4311433339781088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0.054359</v>
      </c>
      <c r="B5" s="31">
        <v>-1.8250618019046396</v>
      </c>
      <c r="C5" s="31">
        <v>-1.816737742596303</v>
      </c>
      <c r="D5" s="31">
        <v>-1.8084136832879663</v>
      </c>
      <c r="E5" s="31">
        <v>-1.8000896239796291</v>
      </c>
      <c r="F5" s="31">
        <v>-1.7917655646712929</v>
      </c>
    </row>
    <row r="6" spans="1:6" x14ac:dyDescent="0.25">
      <c r="A6" s="30">
        <v>0.064359</v>
      </c>
      <c r="B6" s="31">
        <v>-2.159359748857002</v>
      </c>
      <c r="C6" s="31">
        <v>-2.1526214694652213</v>
      </c>
      <c r="D6" s="31">
        <v>-2.1458831900734405</v>
      </c>
      <c r="E6" s="31">
        <v>-2.13914491068166</v>
      </c>
      <c r="F6" s="31">
        <v>-2.1324066312898786</v>
      </c>
    </row>
    <row r="7" spans="1:6" x14ac:dyDescent="0.25">
      <c r="A7" s="30">
        <v>0.074359</v>
      </c>
      <c r="B7" s="31">
        <v>-2.4040188016453814</v>
      </c>
      <c r="C7" s="31">
        <v>-2.3984270360395565</v>
      </c>
      <c r="D7" s="32">
        <v>-2.392835270433732</v>
      </c>
      <c r="E7" s="31">
        <v>-2.387243504827908</v>
      </c>
      <c r="F7" s="31">
        <v>-2.3816517392220837</v>
      </c>
    </row>
    <row r="8" spans="1:6" x14ac:dyDescent="0.25">
      <c r="A8" s="30">
        <v>0.084359</v>
      </c>
      <c r="B8" s="31">
        <v>-2.590908030455075</v>
      </c>
      <c r="C8" s="31">
        <v>-2.5861803882965484</v>
      </c>
      <c r="D8" s="31">
        <v>-2.5814527461380217</v>
      </c>
      <c r="E8" s="31">
        <v>-2.5767251039794945</v>
      </c>
      <c r="F8" s="31">
        <v>-2.5719974618209682</v>
      </c>
    </row>
    <row r="9" spans="1:6" x14ac:dyDescent="0.25">
      <c r="A9" s="30">
        <v>0.094359</v>
      </c>
      <c r="B9" s="31">
        <v>-2.738387153459169</v>
      </c>
      <c r="C9" s="31">
        <v>-2.7343315785711138</v>
      </c>
      <c r="D9" s="31">
        <v>-2.730276003683059</v>
      </c>
      <c r="E9" s="31">
        <v>-2.726220428795004</v>
      </c>
      <c r="F9" s="31">
        <v>-2.72216485390695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662100000</v>
      </c>
      <c r="C5" s="18">
        <v>921200000</v>
      </c>
      <c r="D5" s="18">
        <v>880900000</v>
      </c>
      <c r="E5" s="18">
        <v>837700000</v>
      </c>
      <c r="F5" s="8" t="s">
        <v>84</v>
      </c>
    </row>
    <row r="6" spans="1:6" x14ac:dyDescent="0.25">
      <c r="A6" t="s">
        <v>44</v>
      </c>
      <c r="B6" s="18">
        <v>222800000</v>
      </c>
      <c r="C6" s="18">
        <v>403600000</v>
      </c>
      <c r="D6" s="18">
        <v>324200000</v>
      </c>
      <c r="E6" s="18">
        <v>417300000</v>
      </c>
      <c r="F6" s="8" t="s">
        <v>85</v>
      </c>
    </row>
    <row r="7" spans="1:6" x14ac:dyDescent="0.25">
      <c r="A7" t="s">
        <v>86</v>
      </c>
      <c r="B7" s="18">
        <v>21400000</v>
      </c>
      <c r="C7" s="18">
        <v>18100000</v>
      </c>
      <c r="D7" s="18">
        <v>13900000</v>
      </c>
      <c r="E7" s="18">
        <v>8400000</v>
      </c>
      <c r="F7" s="8" t="s">
        <v>87</v>
      </c>
    </row>
    <row r="8" spans="1:6" x14ac:dyDescent="0.25">
      <c r="A8" t="s">
        <v>88</v>
      </c>
      <c r="B8" s="18">
        <v>33500000</v>
      </c>
      <c r="C8" s="18">
        <v>13200000</v>
      </c>
      <c r="D8" s="18">
        <v>2400000</v>
      </c>
      <c r="E8" s="18">
        <v>8000000</v>
      </c>
      <c r="F8" s="8" t="s">
        <v>89</v>
      </c>
    </row>
    <row r="9" spans="1:6" x14ac:dyDescent="0.25">
      <c r="A9" t="s">
        <v>90</v>
      </c>
      <c r="B9" s="18">
        <v>6700000</v>
      </c>
      <c r="C9" s="18">
        <v>-20400000</v>
      </c>
      <c r="D9" s="18">
        <v>49400000</v>
      </c>
      <c r="E9" s="18">
        <v>-23800000</v>
      </c>
      <c r="F9" s="8" t="s">
        <v>91</v>
      </c>
    </row>
    <row r="10" spans="1:6" x14ac:dyDescent="0.25">
      <c r="A10" t="s">
        <v>92</v>
      </c>
      <c r="B10" s="18">
        <v>4654400000</v>
      </c>
      <c r="C10" s="18">
        <v>4829200000</v>
      </c>
      <c r="D10" s="18">
        <v>5004500000</v>
      </c>
      <c r="E10" s="18">
        <v>5345800000</v>
      </c>
      <c r="F10" s="8" t="s">
        <v>93</v>
      </c>
    </row>
    <row r="11" spans="1:6" x14ac:dyDescent="0.25">
      <c r="A11" t="s">
        <v>94</v>
      </c>
      <c r="B11" s="18">
        <v>57800000</v>
      </c>
      <c r="C11" s="18">
        <v>65300000</v>
      </c>
      <c r="D11" s="18">
        <v>54000000</v>
      </c>
      <c r="E11" s="18">
        <v>123900000</v>
      </c>
      <c r="F11" s="8" t="s">
        <v>95</v>
      </c>
    </row>
    <row r="12" spans="1:6" x14ac:dyDescent="0.25">
      <c r="A12" t="s">
        <v>32</v>
      </c>
      <c r="B12" s="34">
        <v>1118563313</v>
      </c>
      <c r="C12" s="34">
        <v>1073620117</v>
      </c>
      <c r="D12" s="34">
        <v>1075565246</v>
      </c>
      <c r="E12" s="34">
        <v>1075565246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2026-09-19T01:03:58Z</dcterms:modified>
</cp:coreProperties>
</file>