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<sst xmlns="http://schemas.openxmlformats.org/spreadsheetml/2006/main" count="120" uniqueCount="107">
  <si>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eBay Inc. (EBAY)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</si>
  <si>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</si>
  <si>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</si>
  <si>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</si>
  <si>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</si>
  <si>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</si>
  <si>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</si>
  <si>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</si>
  <si>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</si>
  <si>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</si>
  <si>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</si>
  <si>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</si>
  <si>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</si>
  <si>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</si>
  <si>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</si>
  <si>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</si>
  <si>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</si>
  <si>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</si>
  <si>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</si>
  <si>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</si>
  <si>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</si>
  <si>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</si>
  <si>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</si>
  <si>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</si>
  <si>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9.3x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</si>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</sst>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0.13933860450450442</v>
      </c>
    </row>
    <row r="7" spans="1:2" x14ac:dyDescent="0.25">
      <c r="A7" t="s">
        <v>4</v>
      </c>
      <c r="B7" s="5">
        <v>0.21560605403534044</v>
      </c>
    </row>
    <row r="8" spans="1:2" x14ac:dyDescent="0.25">
      <c r="A8" t="s">
        <v>5</v>
      </c>
      <c r="B8" s="5">
        <v>0.13480710879930646</v>
      </c>
    </row>
    <row r="9" spans="1:2" x14ac:dyDescent="0.25">
      <c r="A9" t="s">
        <v>6</v>
      </c>
      <c r="B9" s="5">
        <v>0.03828842110234843</v>
      </c>
    </row>
    <row r="10" spans="1:3" x14ac:dyDescent="0.25">
      <c r="A10" t="s">
        <v>7</v>
      </c>
      <c r="B10" s="5">
        <v>0.04569286985280508</v>
      </c>
      <c r="C10" s="6" t="s">
        <v>8</v>
      </c>
    </row>
    <row r="11" spans="1:2" x14ac:dyDescent="0.25">
      <c r="A11" t="s">
        <v>9</v>
      </c>
      <c r="B11" s="5">
        <v>0.04508453103130766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0.15218166765891042</v>
      </c>
      <c r="C14" s="6" t="s">
        <v>13</v>
      </c>
    </row>
    <row r="15" spans="1:3" x14ac:dyDescent="0.25">
      <c r="A15" t="s">
        <v>14</v>
      </c>
      <c r="B15" s="5">
        <v>0.03828842110234843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1.21574</v>
      </c>
      <c r="C19" s="6" t="s">
        <v>21</v>
      </c>
    </row>
    <row r="20" spans="1:2" x14ac:dyDescent="0.25">
      <c r="A20" t="s">
        <v>22</v>
      </c>
      <c r="B20" s="9">
        <f>B17+B19*B18</f>
        <v>0.100365802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54129799168</v>
      </c>
    </row>
    <row r="23" spans="1:2" x14ac:dyDescent="0.25">
      <c r="A23" t="s">
        <v>26</v>
      </c>
      <c r="B23" s="10">
        <v>7180000000</v>
      </c>
    </row>
    <row r="24" spans="1:2" x14ac:dyDescent="0.25">
      <c r="A24" t="s">
        <v>27</v>
      </c>
      <c r="B24" s="9">
        <f>B22/(B22+B23)</f>
        <v>0.8828898463632951</v>
      </c>
    </row>
    <row r="25" spans="1:2" x14ac:dyDescent="0.25">
      <c r="A25" t="s">
        <v>28</v>
      </c>
      <c r="B25" s="9">
        <f>1-B24</f>
        <v>0.11711015363670485</v>
      </c>
    </row>
    <row r="26" spans="1:2" x14ac:dyDescent="0.25">
      <c r="A26" t="s">
        <v>29</v>
      </c>
      <c r="B26" s="11">
        <f>B24*B20+B25*B21*(1-B8)</f>
        <v>0.09397598037350068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11100000000</v>
      </c>
      <c r="C29" s="6" t="s">
        <v>32</v>
      </c>
    </row>
    <row r="30" spans="1:2" x14ac:dyDescent="0.25">
      <c r="A30" t="s">
        <v>33</v>
      </c>
      <c r="B30" s="10">
        <v>4261000000</v>
      </c>
    </row>
    <row r="31" spans="1:2" x14ac:dyDescent="0.25">
      <c r="A31" t="s">
        <v>34</v>
      </c>
      <c r="B31" s="12">
        <v>468000000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0.13933860450450442</v>
      </c>
      <c r="C5" s="5">
        <v>0.07182398886486574</v>
      </c>
      <c r="D5" s="5">
        <v>0.06597099025675753</v>
      </c>
      <c r="E5" s="5">
        <v>0.060117991648649304</v>
      </c>
      <c r="F5" s="5">
        <v>0.05426499304054109</v>
      </c>
      <c r="G5" s="5">
        <v>0.04841199443243287</v>
      </c>
      <c r="H5" s="5">
        <v>0.04255899582432465</v>
      </c>
      <c r="I5" s="5">
        <v>0.03670599721621644</v>
      </c>
      <c r="J5" s="5">
        <v>0.030852998608108216</v>
      </c>
      <c r="K5" s="5">
        <v>0.025</v>
      </c>
    </row>
    <row r="6" spans="1:11" x14ac:dyDescent="0.25">
      <c r="A6" t="s">
        <v>50</v>
      </c>
      <c r="B6" s="18">
        <f>Assumptions!B29*(1+B5)</f>
        <v>12646658509.999998</v>
      </c>
      <c r="C6" s="18">
        <f>B6*(1+C5)</f>
        <v>13554991969.999998</v>
      </c>
      <c r="D6" s="18">
        <f>C6*(1+D5)</f>
        <v>14449228213.183294</v>
      </c>
      <c r="E6" s="18">
        <f>D6*(1+E5)</f>
        <v>15317886794.232878</v>
      </c>
      <c r="F6" s="18">
        <f>E6*(1+F5)</f>
        <v>16149111814.51772</v>
      </c>
      <c r="G6" s="18">
        <f>F6*(1+G5)</f>
        <v>16930922525.770885</v>
      </c>
      <c r="H6" s="18">
        <f>G6*(1+H5)</f>
        <v>17651485586.847134</v>
      </c>
      <c r="I6" s="18">
        <f>H6*(1+I5)</f>
        <v>18299400967.66003</v>
      </c>
      <c r="J6" s="18">
        <f>I6*(1+J5)</f>
        <v>18863992360.24446</v>
      </c>
      <c r="K6" s="18">
        <f>J6*(1+K5)</f>
        <v>19335592169.250572</v>
      </c>
    </row>
    <row r="7" spans="1:11" x14ac:dyDescent="0.25">
      <c r="A7" t="s">
        <v>4</v>
      </c>
      <c r="B7" s="9">
        <f>Assumptions!B7</f>
        <v>0.21560605403534044</v>
      </c>
      <c r="C7" s="9">
        <f>Assumptions!B7</f>
        <v>0.21560605403534044</v>
      </c>
      <c r="D7" s="9">
        <f>Assumptions!B7</f>
        <v>0.21560605403534044</v>
      </c>
      <c r="E7" s="9">
        <f>Assumptions!B7</f>
        <v>0.21560605403534044</v>
      </c>
      <c r="F7" s="9">
        <f>Assumptions!B7</f>
        <v>0.21560605403534044</v>
      </c>
      <c r="G7" s="9">
        <f>Assumptions!B7</f>
        <v>0.21560605403534044</v>
      </c>
      <c r="H7" s="9">
        <f>Assumptions!B7</f>
        <v>0.21560605403534044</v>
      </c>
      <c r="I7" s="9">
        <f>Assumptions!B7</f>
        <v>0.21560605403534044</v>
      </c>
      <c r="J7" s="9">
        <f>Assumptions!B7</f>
        <v>0.21560605403534044</v>
      </c>
      <c r="K7" s="9">
        <f>Assumptions!B7</f>
        <v>0.21560605403534044</v>
      </c>
    </row>
    <row r="8" spans="1:11" x14ac:dyDescent="0.25">
      <c r="A8" t="s">
        <v>51</v>
      </c>
      <c r="B8" s="18">
        <f>B6*B7</f>
        <v>2726696138.073558</v>
      </c>
      <c r="C8" s="18">
        <f>C6*C7</f>
        <v>2922538331.1324253</v>
      </c>
      <c r="D8" s="18">
        <f>D6*D7</f>
        <v>3115341078.9005632</v>
      </c>
      <c r="E8" s="18">
        <f>E6*E7</f>
        <v>3302629127.8646016</v>
      </c>
      <c r="F8" s="18">
        <f>F6*F7</f>
        <v>3481846274.503662</v>
      </c>
      <c r="G8" s="18">
        <f>G6*G7</f>
        <v>3650409396.9595203</v>
      </c>
      <c r="H8" s="18">
        <f>H6*H7</f>
        <v>3805767155.241796</v>
      </c>
      <c r="I8" s="18">
        <f>I6*I7</f>
        <v>3945461633.8476696</v>
      </c>
      <c r="J8" s="18">
        <f>J6*J7</f>
        <v>4067190956.145117</v>
      </c>
      <c r="K8" s="18">
        <f>K6*K7</f>
        <v>4168870730.048744</v>
      </c>
    </row>
    <row r="9" spans="1:11" x14ac:dyDescent="0.25">
      <c r="A9" t="s">
        <v>52</v>
      </c>
      <c r="B9" s="18">
        <f>B8*(1-Assumptions!B8)</f>
        <v>2359118115.125627</v>
      </c>
      <c r="C9" s="18">
        <f>C8*(1-Assumptions!B8)</f>
        <v>2528559388.3573127</v>
      </c>
      <c r="D9" s="18">
        <f>D8*(1-Assumptions!B8)</f>
        <v>2695370955.130266</v>
      </c>
      <c r="E9" s="18">
        <f>E8*(1-Assumptions!B8)</f>
        <v>2857411243.7007995</v>
      </c>
      <c r="F9" s="18">
        <f>F8*(1-Assumptions!B8)</f>
        <v>3012468644.954187</v>
      </c>
      <c r="G9" s="18">
        <f>G8*(1-Assumptions!B8)</f>
        <v>3158308260.2215877</v>
      </c>
      <c r="H9" s="18">
        <f>H8*(1-Assumptions!B8)</f>
        <v>3292722688.280288</v>
      </c>
      <c r="I9" s="18">
        <f>I8*(1-Assumptions!B8)</f>
        <v>3413585358.1100774</v>
      </c>
      <c r="J9" s="18">
        <f>J8*(1-Assumptions!B8)</f>
        <v>3518904702.4125066</v>
      </c>
      <c r="K9" s="18">
        <f>K8*(1-Assumptions!B8)</f>
        <v>3606877319.972819</v>
      </c>
    </row>
    <row r="10" spans="1:11" x14ac:dyDescent="0.25">
      <c r="A10" t="s">
        <v>53</v>
      </c>
      <c r="B10" s="18">
        <f>B6*Assumptions!B9</f>
        <v>484220586.5684783</v>
      </c>
      <c r="C10" s="18">
        <f>C6*Assumptions!B9</f>
        <v>518999240.58631146</v>
      </c>
      <c r="D10" s="18">
        <f>D6*Assumptions!B9</f>
        <v>553238134.4302956</v>
      </c>
      <c r="E10" s="18">
        <f>E6*Assumptions!B9</f>
        <v>586497699.9756905</v>
      </c>
      <c r="F10" s="18">
        <f>F6*Assumptions!B9</f>
        <v>618323993.5831646</v>
      </c>
      <c r="G10" s="18">
        <f>G6*Assumptions!B9</f>
        <v>648258291.3179524</v>
      </c>
      <c r="H10" s="18">
        <f>H6*Assumptions!B9</f>
        <v>675847513.2312369</v>
      </c>
      <c r="I10" s="18">
        <f>I6*Assumptions!B9</f>
        <v>700655170.1704897</v>
      </c>
      <c r="J10" s="18">
        <f>J6*Assumptions!B9</f>
        <v>722272483.1605237</v>
      </c>
      <c r="K10" s="18">
        <f>K6*Assumptions!B9</f>
        <v>740329295.2395366</v>
      </c>
    </row>
    <row r="11" spans="1:11" x14ac:dyDescent="0.25">
      <c r="A11" t="s">
        <v>54</v>
      </c>
      <c r="B11" s="18">
        <f>-B6*B19</f>
        <v>-577862121.3702997</v>
      </c>
      <c r="C11" s="18">
        <f>-C6*C19</f>
        <v>-654368458.8645002</v>
      </c>
      <c r="D11" s="18">
        <f>-D6*D19</f>
        <v>-734848883.9586955</v>
      </c>
      <c r="E11" s="18">
        <f>-E6*E19</f>
        <v>-818580680.6868733</v>
      </c>
      <c r="F11" s="18">
        <f>-F6*F19</f>
        <v>-904701519.3769053</v>
      </c>
      <c r="G11" s="18">
        <f>-G6*G19</f>
        <v>-992219295.5054983</v>
      </c>
      <c r="H11" s="18">
        <f>-H6*H19</f>
        <v>-1080027176.1059833</v>
      </c>
      <c r="I11" s="18">
        <f>-I6*I19</f>
        <v>-1166923734.5965648</v>
      </c>
      <c r="J11" s="18">
        <f>-J6*J19</f>
        <v>-1251637814.260824</v>
      </c>
      <c r="K11" s="18">
        <f>-K6*K19</f>
        <v>-1332857517.5049524</v>
      </c>
    </row>
    <row r="12" spans="1:11" x14ac:dyDescent="0.25">
      <c r="A12" t="s">
        <v>55</v>
      </c>
      <c r="B12" s="18">
        <f>-(B6-Assumptions!B29)*Assumptions!B11</f>
        <v>-69730373.58893098</v>
      </c>
      <c r="C12" s="18">
        <f>-(C6-B6)*Assumptions!B11</f>
        <v>-40951788.06414506</v>
      </c>
      <c r="D12" s="18">
        <f>-(D6-C6)*Assumptions!B11</f>
        <v>-40316221.6551173</v>
      </c>
      <c r="E12" s="18">
        <f>-(E6-D6)*Assumptions!B11</f>
        <v>-39163064.75294162</v>
      </c>
      <c r="F12" s="18">
        <f>-(F6-E6)*Assumptions!B11</f>
        <v>-37475390.22103128</v>
      </c>
      <c r="G12" s="18">
        <f>-(G6-F6)*Assumptions!B11</f>
        <v>-35247569.27210209</v>
      </c>
      <c r="H12" s="18">
        <f>-(H6-G6)*Assumptions!B11</f>
        <v>-32486247.687106147</v>
      </c>
      <c r="I12" s="18">
        <f>-(I6-H6)*Assumptions!B11</f>
        <v>-29210961.091920562</v>
      </c>
      <c r="J12" s="18">
        <f>-(J6-I6)*Assumptions!B11</f>
        <v>-25454338.15898197</v>
      </c>
      <c r="K12" s="18">
        <f>-(K6-J6)*Assumptions!B11</f>
        <v>-21261856.223494783</v>
      </c>
    </row>
    <row r="13" spans="1:11" x14ac:dyDescent="0.25">
      <c r="A13" s="19" t="s">
        <v>56</v>
      </c>
      <c r="B13" s="20">
        <f>B9+B10+B11+B12</f>
        <v>2195746206.7348742</v>
      </c>
      <c r="C13" s="20">
        <f>C9+C10+C11+C12</f>
        <v>2352238382.014979</v>
      </c>
      <c r="D13" s="20">
        <f>D9+D10+D11+D12</f>
        <v>2473443983.9467487</v>
      </c>
      <c r="E13" s="20">
        <f>E9+E10+E11+E12</f>
        <v>2586165198.236675</v>
      </c>
      <c r="F13" s="20">
        <f>F9+F10+F11+F12</f>
        <v>2688615728.939415</v>
      </c>
      <c r="G13" s="20">
        <f>G9+G10+G11+G12</f>
        <v>2779099686.76194</v>
      </c>
      <c r="H13" s="20">
        <f>H9+H10+H11+H12</f>
        <v>2856056777.718436</v>
      </c>
      <c r="I13" s="20">
        <f>I9+I10+I11+I12</f>
        <v>2918105832.592082</v>
      </c>
      <c r="J13" s="20">
        <f>J9+J10+J11+J12</f>
        <v>2964085033.1532245</v>
      </c>
      <c r="K13" s="20">
        <f>K9+K10+K11+K12</f>
        <v>2993087241.483908</v>
      </c>
    </row>
    <row r="14" spans="1:11" x14ac:dyDescent="0.25">
      <c r="A14" t="s">
        <v>57</v>
      </c>
      <c r="B14" s="21">
        <f>1/(1+Assumptions!$B$26)^(1-0.5*Assumptions!$B$32)</f>
        <v>0.9560841239983892</v>
      </c>
      <c r="C14" s="21">
        <f>1/(1+Assumptions!$B$26)^(2-0.5*Assumptions!$B$32)</f>
        <v>0.8739534881487679</v>
      </c>
      <c r="D14" s="21">
        <f>1/(1+Assumptions!$B$26)^(3-0.5*Assumptions!$B$32)</f>
        <v>0.7988781324525849</v>
      </c>
      <c r="E14" s="21">
        <f>1/(1+Assumptions!$B$26)^(4-0.5*Assumptions!$B$32)</f>
        <v>0.730251986135779</v>
      </c>
      <c r="F14" s="21">
        <f>1/(1+Assumptions!$B$26)^(5-0.5*Assumptions!$B$32)</f>
        <v>0.6675210418115939</v>
      </c>
      <c r="G14" s="21">
        <f>1/(1+Assumptions!$B$26)^(6-0.5*Assumptions!$B$32)</f>
        <v>0.6101788830717212</v>
      </c>
      <c r="H14" s="21">
        <f>1/(1+Assumptions!$B$26)^(7-0.5*Assumptions!$B$32)</f>
        <v>0.5577625962714432</v>
      </c>
      <c r="I14" s="21">
        <f>1/(1+Assumptions!$B$26)^(8-0.5*Assumptions!$B$32)</f>
        <v>0.5098490335053008</v>
      </c>
      <c r="J14" s="21">
        <f>1/(1+Assumptions!$B$26)^(9-0.5*Assumptions!$B$32)</f>
        <v>0.4660513966049147</v>
      </c>
      <c r="K14" s="21">
        <f>1/(1+Assumptions!$B$26)^(10-0.5*Assumptions!$B$32)</f>
        <v>0.4260161145821478</v>
      </c>
    </row>
    <row r="15" spans="1:11" x14ac:dyDescent="0.25">
      <c r="A15" s="19" t="s">
        <v>58</v>
      </c>
      <c r="B15" s="20">
        <f>B13*B14</f>
        <v>2099318088.5888982</v>
      </c>
      <c r="C15" s="20">
        <f>C13*C14</f>
        <v>2055746938.919405</v>
      </c>
      <c r="D15" s="20">
        <f>D13*D14</f>
        <v>1975980310.62146</v>
      </c>
      <c r="E15" s="20">
        <f>E13*E14</f>
        <v>1888552272.4875624</v>
      </c>
      <c r="F15" s="20">
        <f>F13*F14</f>
        <v>1794707572.412676</v>
      </c>
      <c r="G15" s="20">
        <f>G13*G14</f>
        <v>1695747942.8133707</v>
      </c>
      <c r="H15" s="20">
        <f>H13*H14</f>
        <v>1593001643.438887</v>
      </c>
      <c r="I15" s="20">
        <f>I13*I14</f>
        <v>1487793438.413254</v>
      </c>
      <c r="J15" s="20">
        <f>J13*J14</f>
        <v>1381415969.356785</v>
      </c>
      <c r="K15" s="20">
        <f>K13*K14</f>
        <v>1275103397.2223732</v>
      </c>
    </row>
    <row r="17" spans="1:2" x14ac:dyDescent="0.25">
      <c r="A17" s="22" t="s">
        <v>59</v>
      </c>
      <c r="B17" s="23">
        <f>SUM(B15:K15)</f>
        <v>17247367574.27467</v>
      </c>
    </row>
    <row r="19" spans="1:11" x14ac:dyDescent="0.25">
      <c r="A19" t="s">
        <v>7</v>
      </c>
      <c r="B19" s="9">
        <f>Assumptions!$B$10+($B$20-Assumptions!$B$10)*0/9</f>
        <v>0.04569286985280508</v>
      </c>
      <c r="C19" s="9">
        <f>Assumptions!$B$10+($B$20-Assumptions!$B$10)*1/9</f>
        <v>0.048275090115342964</v>
      </c>
      <c r="D19" s="9">
        <f>Assumptions!$B$10+($B$20-Assumptions!$B$10)*2/9</f>
        <v>0.05085731037788085</v>
      </c>
      <c r="E19" s="9">
        <f>Assumptions!$B$10+($B$20-Assumptions!$B$10)*3/9</f>
        <v>0.05343953064041873</v>
      </c>
      <c r="F19" s="9">
        <f>Assumptions!$B$10+($B$20-Assumptions!$B$10)*4/9</f>
        <v>0.056021750902956614</v>
      </c>
      <c r="G19" s="9">
        <f>Assumptions!$B$10+($B$20-Assumptions!$B$10)*5/9</f>
        <v>0.0586039711654945</v>
      </c>
      <c r="H19" s="9">
        <f>Assumptions!$B$10+($B$20-Assumptions!$B$10)*6/9</f>
        <v>0.06118619142803238</v>
      </c>
      <c r="I19" s="9">
        <f>Assumptions!$B$10+($B$20-Assumptions!$B$10)*7/9</f>
        <v>0.06376841169057026</v>
      </c>
      <c r="J19" s="9">
        <f>Assumptions!$B$10+($B$20-Assumptions!$B$10)*8/9</f>
        <v>0.06635063195310814</v>
      </c>
      <c r="K19" s="9">
        <f>Assumptions!$B$10+($B$20-Assumptions!$B$10)*9/9</f>
        <v>0.06893285221564603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0.06893285221564603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2993087241.483908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3606877319.972819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0.1642773428927937</v>
      </c>
    </row>
    <row r="7" spans="1:2" x14ac:dyDescent="0.25">
      <c r="A7" t="s">
        <v>66</v>
      </c>
      <c r="B7" s="18">
        <f>-MAX(B5,0)*B6</f>
        <v>-592528222.2654155</v>
      </c>
    </row>
    <row r="8" spans="1:2" x14ac:dyDescent="0.25">
      <c r="A8" t="s">
        <v>67</v>
      </c>
      <c r="B8" s="18">
        <f>IF(OR(Assumptions!$B$33=0,Assumptions!B12&lt;=0),B5,MAX(B5+B7,0))</f>
        <v>3014349097.707403</v>
      </c>
    </row>
    <row r="9" spans="1:2" x14ac:dyDescent="0.25">
      <c r="A9" t="s">
        <v>68</v>
      </c>
      <c r="B9" s="18">
        <f>B8*(1+Assumptions!B12)/(Assumptions!B26-Assumptions!B12)</f>
        <v>44793967529.26904</v>
      </c>
    </row>
    <row r="10" spans="1:2" x14ac:dyDescent="0.25">
      <c r="A10" t="s">
        <v>69</v>
      </c>
      <c r="B10" s="18">
        <f>B9/(1+Assumptions!B26)^(10-0.5*Assumptions!B32)</f>
        <v>19082952003.538086</v>
      </c>
    </row>
    <row r="11" spans="1:2" x14ac:dyDescent="0.25">
      <c r="A11" t="s">
        <v>70</v>
      </c>
      <c r="B11" s="18">
        <f>Forecast!B17+B10</f>
        <v>36330319577.81276</v>
      </c>
    </row>
    <row r="12" spans="1:2" x14ac:dyDescent="0.25">
      <c r="A12" t="s">
        <v>71</v>
      </c>
      <c r="B12" s="18">
        <f>-Assumptions!B30</f>
        <v>-4261000000</v>
      </c>
    </row>
    <row r="13" spans="1:2" x14ac:dyDescent="0.25">
      <c r="A13" t="s">
        <v>72</v>
      </c>
      <c r="B13" s="18">
        <f>B11+B12</f>
        <v>32069319577.81276</v>
      </c>
    </row>
    <row r="14" spans="1:2" x14ac:dyDescent="0.25">
      <c r="A14" s="19" t="s">
        <v>73</v>
      </c>
      <c r="B14" s="24">
        <f>B13/Assumptions!B31</f>
        <v>68.52418713207855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4909200025.2882805</v>
      </c>
    </row>
    <row r="18" spans="1:2" x14ac:dyDescent="0.25">
      <c r="A18" t="s">
        <v>68</v>
      </c>
      <c r="B18" s="18">
        <f>B17*Assumptions!B13</f>
        <v>98184000505.76561</v>
      </c>
    </row>
    <row r="19" spans="1:2" x14ac:dyDescent="0.25">
      <c r="A19" t="s">
        <v>69</v>
      </c>
      <c r="B19" s="18">
        <f>B18/(1+Assumptions!B26)^(10-0.5*Assumptions!B32)</f>
        <v>41827966409.5979</v>
      </c>
    </row>
    <row r="20" spans="1:2" x14ac:dyDescent="0.25">
      <c r="A20" t="s">
        <v>70</v>
      </c>
      <c r="B20" s="18">
        <f>Forecast!B17+B19</f>
        <v>59075333983.872574</v>
      </c>
    </row>
    <row r="21" spans="1:2" x14ac:dyDescent="0.25">
      <c r="A21" t="s">
        <v>71</v>
      </c>
      <c r="B21" s="18">
        <f>-Assumptions!B30</f>
        <v>-4261000000</v>
      </c>
    </row>
    <row r="22" spans="1:2" x14ac:dyDescent="0.25">
      <c r="A22" t="s">
        <v>72</v>
      </c>
      <c r="B22" s="18">
        <f>B20+B21</f>
        <v>54814333983.872574</v>
      </c>
    </row>
    <row r="23" spans="1:2" x14ac:dyDescent="0.25">
      <c r="A23" s="19" t="s">
        <v>73</v>
      </c>
      <c r="B23" s="25">
        <f>B22/Assumptions!B31</f>
        <v>117.12464526468499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121.64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68.52418713207855</v>
      </c>
    </row>
    <row r="29" spans="1:2" x14ac:dyDescent="0.25">
      <c r="A29" s="19" t="s">
        <v>81</v>
      </c>
      <c r="B29" s="11">
        <f>B28/B26-1</f>
        <v>-0.4366640321269438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0.073976</v>
      </c>
      <c r="B5" s="31">
        <v>93.14728563355055</v>
      </c>
      <c r="C5" s="31">
        <v>95.95674444923253</v>
      </c>
      <c r="D5" s="31">
        <v>99.45870073232277</v>
      </c>
      <c r="E5" s="31">
        <v>103.88936200535916</v>
      </c>
      <c r="F5" s="31">
        <v>109.60614244242807</v>
      </c>
    </row>
    <row r="6" spans="1:6" x14ac:dyDescent="0.25">
      <c r="A6" s="30">
        <v>0.083976</v>
      </c>
      <c r="B6" s="31">
        <v>78.1924733009385</v>
      </c>
      <c r="C6" s="31">
        <v>79.61416335795039</v>
      </c>
      <c r="D6" s="31">
        <v>81.37024556885362</v>
      </c>
      <c r="E6" s="31">
        <v>83.55364794440054</v>
      </c>
      <c r="F6" s="31">
        <v>86.29524688261583</v>
      </c>
    </row>
    <row r="7" spans="1:6" x14ac:dyDescent="0.25">
      <c r="A7" s="30">
        <v>0.093976</v>
      </c>
      <c r="B7" s="31">
        <v>67.04404909243034</v>
      </c>
      <c r="C7" s="31">
        <v>67.69888013138448</v>
      </c>
      <c r="D7" s="32">
        <v>68.52416557268475</v>
      </c>
      <c r="E7" s="31">
        <v>69.55987065384508</v>
      </c>
      <c r="F7" s="31">
        <v>70.85951366362531</v>
      </c>
    </row>
    <row r="8" spans="1:6" x14ac:dyDescent="0.25">
      <c r="A8" s="30">
        <v>0.103976</v>
      </c>
      <c r="B8" s="31">
        <v>58.41739293997023</v>
      </c>
      <c r="C8" s="31">
        <v>58.62873026387729</v>
      </c>
      <c r="D8" s="31">
        <v>58.92929765438048</v>
      </c>
      <c r="E8" s="31">
        <v>59.33718815515536</v>
      </c>
      <c r="F8" s="31">
        <v>59.8757409951232</v>
      </c>
    </row>
    <row r="9" spans="1:6" x14ac:dyDescent="0.25">
      <c r="A9" s="30">
        <v>0.113976</v>
      </c>
      <c r="B9" s="31">
        <v>51.54713957118139</v>
      </c>
      <c r="C9" s="31">
        <v>51.49501961331144</v>
      </c>
      <c r="D9" s="31">
        <v>51.48960393244908</v>
      </c>
      <c r="E9" s="31">
        <v>51.539234961612244</v>
      </c>
      <c r="F9" s="31">
        <v>51.6543677839956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11100000000</v>
      </c>
      <c r="C5" s="18">
        <v>10283000000</v>
      </c>
      <c r="D5" s="18">
        <v>10112000000</v>
      </c>
      <c r="E5" s="18">
        <v>9795000000</v>
      </c>
      <c r="F5" s="6" t="s">
        <v>91</v>
      </c>
    </row>
    <row r="6" spans="1:6" x14ac:dyDescent="0.25">
      <c r="A6" t="s">
        <v>51</v>
      </c>
      <c r="B6" s="18">
        <v>2277000000</v>
      </c>
      <c r="C6" s="18">
        <v>2318000000</v>
      </c>
      <c r="D6" s="18">
        <v>1941000000</v>
      </c>
      <c r="E6" s="18">
        <v>2350000000</v>
      </c>
      <c r="F6" s="6" t="s">
        <v>92</v>
      </c>
    </row>
    <row r="7" spans="1:6" x14ac:dyDescent="0.25">
      <c r="A7" t="s">
        <v>93</v>
      </c>
      <c r="B7" s="18">
        <v>407000000</v>
      </c>
      <c r="C7" s="18">
        <v>324000000</v>
      </c>
      <c r="D7" s="18">
        <v>403000000</v>
      </c>
      <c r="E7" s="18">
        <v>442000000</v>
      </c>
      <c r="F7" s="6" t="s">
        <v>94</v>
      </c>
    </row>
    <row r="8" spans="1:6" x14ac:dyDescent="0.25">
      <c r="A8" t="s">
        <v>95</v>
      </c>
      <c r="B8" s="18">
        <v>525000000</v>
      </c>
      <c r="C8" s="18">
        <v>458000000</v>
      </c>
      <c r="D8" s="18">
        <v>456000000</v>
      </c>
      <c r="E8" s="18">
        <v>449000000</v>
      </c>
      <c r="F8" s="6" t="s">
        <v>96</v>
      </c>
    </row>
    <row r="9" spans="1:6" x14ac:dyDescent="0.25">
      <c r="A9" t="s">
        <v>97</v>
      </c>
      <c r="B9" s="18">
        <v>1429000000</v>
      </c>
      <c r="C9" s="18">
        <v>34000000</v>
      </c>
      <c r="D9" s="18">
        <v>94000000</v>
      </c>
      <c r="E9" s="18">
        <v>377000000</v>
      </c>
      <c r="F9" s="6" t="s">
        <v>98</v>
      </c>
    </row>
    <row r="10" spans="1:6" x14ac:dyDescent="0.25">
      <c r="A10" t="s">
        <v>99</v>
      </c>
      <c r="B10" s="18">
        <v>7180000000</v>
      </c>
      <c r="C10" s="18">
        <v>7863000000</v>
      </c>
      <c r="D10" s="18">
        <v>8228000000</v>
      </c>
      <c r="E10" s="18">
        <v>9420000000</v>
      </c>
      <c r="F10" s="6" t="s">
        <v>100</v>
      </c>
    </row>
    <row r="11" spans="1:6" x14ac:dyDescent="0.25">
      <c r="A11" t="s">
        <v>101</v>
      </c>
      <c r="B11" s="18">
        <v>2919000000</v>
      </c>
      <c r="C11" s="18">
        <v>5890000000</v>
      </c>
      <c r="D11" s="18">
        <v>8992000000</v>
      </c>
      <c r="E11" s="18">
        <v>7471000000</v>
      </c>
      <c r="F11" s="6" t="s">
        <v>102</v>
      </c>
    </row>
    <row r="12" spans="1:6" x14ac:dyDescent="0.25">
      <c r="A12" t="s">
        <v>34</v>
      </c>
      <c r="B12" s="34">
        <v>468000000</v>
      </c>
      <c r="C12" s="34">
        <v>501000000</v>
      </c>
      <c r="D12" s="34">
        <v>533000000</v>
      </c>
      <c r="E12" s="34">
        <v>558000000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