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<sst xmlns="http://schemas.openxmlformats.org/spreadsheetml/2006/main" count="122" uniqueCount="109">
  <si>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EchoStar Corporation (ECHO)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</si>
  <si>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</si>
  <si>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</si>
  <si>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</si>
  <si>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</si>
  <si>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</si>
  <si>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</si>
  <si>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</si>
  <si>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</si>
  <si>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</si>
  <si>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</si>
  <si>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</si>
  <si>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</si>
  <si>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</si>
  <si>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</si>
  <si>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</si>
  <si>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</si>
  <si>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</si>
  <si>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</si>
  <si>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</si>
  <si>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</si>
  <si>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</si>
  <si>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</si>
  <si>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</si>
  <si>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-0.1x interest cover, capped at 200bp because one year's cover is too noisy to charge more.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</si>
  <si>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</si>
  <si>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</si>
  <si>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</si>
  <si>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</si>
  <si>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</si>
  <si>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</si>
  <si>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</si>
  <si>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</si>
  <si>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</si>
  <si>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</si>
  <si>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</si>
  <si>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</si>
  <si>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</si>
  <si>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</si>
  <si>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</si>
  <si>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</si>
  <si>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</si>
  <si>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</si>
  <si>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</si>
  <si>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</si>
  <si>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</si>
  <si>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</si>
  <si>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</si>
  <si>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</si>
  <si>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</si>
  <si>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</si>
  <si>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</si>
  <si>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</si>
  <si>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</si>
  <si>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</si>
  <si>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</si>
  <si>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</si>
  <si>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</si>
  <si>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</si>
  <si>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</si>
  <si>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</si>
  <si>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</si>
  <si>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</si>
  <si>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</si>
  <si>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</si>
  <si>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</si>
  <si>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</si>
  <si>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</si>
  <si>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</si>
  <si>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</si>
  <si>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</si>
  <si>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</si>
  <si>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</si>
  <si>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</si>
  <si>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</si>
  <si>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</si>
  <si>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</si>
  <si>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</si>
  <si>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</si>
  <si>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</si>
  <si>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</si>
  <si>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</si>
  <si>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</si>
  <si>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</si>
  <si>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</si>
  <si>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</si>
  <si>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</si>
  <si>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</si>
  <si>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</si>
  <si>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</si>
  <si>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</si>
  <si>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</si>
  <si>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</si>
  <si>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</si>
  <si>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</si>
  <si>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</si>
  <si>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</si>
  <si>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</si>
  <si>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</si>
  <si>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</si>
  <si>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</si>
  <si>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</si>
  <si>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</si>
  <si>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</si>
  <si>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</si>
  <si>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</si>
  <si>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28.0% of revenue against depreciation of 9.6%.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</si>
  <si>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37.0x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</si>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</sst>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-0.05072996454712497</v>
      </c>
    </row>
    <row r="7" spans="1:2" x14ac:dyDescent="0.25">
      <c r="A7" t="s">
        <v>4</v>
      </c>
      <c r="B7" s="5">
        <v>0.030742980698041187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0.09614872072357643</v>
      </c>
    </row>
    <row r="10" spans="1:3" x14ac:dyDescent="0.25">
      <c r="A10" t="s">
        <v>7</v>
      </c>
      <c r="B10" s="5">
        <v>0.2803042621431705</v>
      </c>
      <c r="C10" s="6" t="s">
        <v>8</v>
      </c>
    </row>
    <row r="11" spans="1:2" x14ac:dyDescent="0.25">
      <c r="A11" t="s">
        <v>9</v>
      </c>
      <c r="B11" s="5">
        <v>0.05861958460752682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0.07213445501490483</v>
      </c>
      <c r="C14" s="6" t="s">
        <v>13</v>
      </c>
    </row>
    <row r="15" spans="1:3" x14ac:dyDescent="0.25">
      <c r="A15" t="s">
        <v>14</v>
      </c>
      <c r="B15" s="5">
        <v>0.09614872072357643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0.99464</v>
      </c>
      <c r="C19" s="6" t="s">
        <v>21</v>
      </c>
    </row>
    <row r="20" spans="1:2" x14ac:dyDescent="0.25">
      <c r="A20" t="s">
        <v>22</v>
      </c>
      <c r="B20" s="9">
        <f>B17+B19*B18</f>
        <v>0.091013272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28191688704</v>
      </c>
    </row>
    <row r="23" spans="1:2" x14ac:dyDescent="0.25">
      <c r="A23" t="s">
        <v>26</v>
      </c>
      <c r="B23" s="10">
        <v>30117140000</v>
      </c>
    </row>
    <row r="24" spans="1:2" x14ac:dyDescent="0.25">
      <c r="A24" t="s">
        <v>27</v>
      </c>
      <c r="B24" s="9">
        <f>B22/(B22+B23)</f>
        <v>0.4834891959005522</v>
      </c>
    </row>
    <row r="25" spans="1:2" x14ac:dyDescent="0.25">
      <c r="A25" t="s">
        <v>28</v>
      </c>
      <c r="B25" s="9">
        <f>1-B24</f>
        <v>0.5165108040994477</v>
      </c>
    </row>
    <row r="26" spans="1:2" x14ac:dyDescent="0.25">
      <c r="A26" t="s">
        <v>29</v>
      </c>
      <c r="B26" s="11">
        <f>B24*B20+B25*B21*(1-B8)</f>
        <v>0.07213445501490483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15004989000</v>
      </c>
      <c r="C29" s="6" t="s">
        <v>32</v>
      </c>
    </row>
    <row r="30" spans="1:2" x14ac:dyDescent="0.25">
      <c r="A30" t="s">
        <v>33</v>
      </c>
      <c r="B30" s="10">
        <v>27133175000</v>
      </c>
    </row>
    <row r="31" spans="1:2" x14ac:dyDescent="0.25">
      <c r="A31" t="s">
        <v>34</v>
      </c>
      <c r="B31" s="12">
        <v>287589000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-0.05072996454712497</v>
      </c>
      <c r="C5" s="5">
        <v>-0.05960231877781508</v>
      </c>
      <c r="D5" s="5">
        <v>-0.04902702893058819</v>
      </c>
      <c r="E5" s="5">
        <v>-0.03845173908336131</v>
      </c>
      <c r="F5" s="5">
        <v>-0.02787644923613443</v>
      </c>
      <c r="G5" s="5">
        <v>-0.01730115938890754</v>
      </c>
      <c r="H5" s="5">
        <v>-0.006725869541680654</v>
      </c>
      <c r="I5" s="5">
        <v>0.0038494203055462195</v>
      </c>
      <c r="J5" s="5">
        <v>0.014424710152773107</v>
      </c>
      <c r="K5" s="5">
        <v>0.024999999999999994</v>
      </c>
    </row>
    <row r="6" spans="1:11" x14ac:dyDescent="0.25">
      <c r="A6" t="s">
        <v>50</v>
      </c>
      <c r="B6" s="18">
        <f>Assumptions!B29*(1+B5)</f>
        <v>14243786440</v>
      </c>
      <c r="C6" s="18">
        <f>B6*(1+C5)</f>
        <v>13394823740</v>
      </c>
      <c r="D6" s="18">
        <f>C6*(1+D5)</f>
        <v>12738115328.978891</v>
      </c>
      <c r="E6" s="18">
        <f>D6*(1+E5)</f>
        <v>12248312641.93523</v>
      </c>
      <c r="F6" s="18">
        <f>E6*(1+F5)</f>
        <v>11906873176.344019</v>
      </c>
      <c r="G6" s="18">
        <f>F6*(1+G5)</f>
        <v>11700870465.696583</v>
      </c>
      <c r="H6" s="18">
        <f>G6*(1+H5)</f>
        <v>11622171937.420204</v>
      </c>
      <c r="I6" s="18">
        <f>H6*(1+I5)</f>
        <v>11666910562.070658</v>
      </c>
      <c r="J6" s="18">
        <f>I6*(1+J5)</f>
        <v>11835202365.306852</v>
      </c>
      <c r="K6" s="18">
        <f>J6*(1+K5)</f>
        <v>12131082424.439522</v>
      </c>
    </row>
    <row r="7" spans="1:11" x14ac:dyDescent="0.25">
      <c r="A7" t="s">
        <v>4</v>
      </c>
      <c r="B7" s="9">
        <f>Assumptions!B7</f>
        <v>0.030742980698041187</v>
      </c>
      <c r="C7" s="9">
        <f>Assumptions!B7</f>
        <v>0.030742980698041187</v>
      </c>
      <c r="D7" s="9">
        <f>Assumptions!B7</f>
        <v>0.030742980698041187</v>
      </c>
      <c r="E7" s="9">
        <f>Assumptions!B7</f>
        <v>0.030742980698041187</v>
      </c>
      <c r="F7" s="9">
        <f>Assumptions!B7</f>
        <v>0.030742980698041187</v>
      </c>
      <c r="G7" s="9">
        <f>Assumptions!B7</f>
        <v>0.030742980698041187</v>
      </c>
      <c r="H7" s="9">
        <f>Assumptions!B7</f>
        <v>0.030742980698041187</v>
      </c>
      <c r="I7" s="9">
        <f>Assumptions!B7</f>
        <v>0.030742980698041187</v>
      </c>
      <c r="J7" s="9">
        <f>Assumptions!B7</f>
        <v>0.030742980698041187</v>
      </c>
      <c r="K7" s="9">
        <f>Assumptions!B7</f>
        <v>0.030742980698041187</v>
      </c>
    </row>
    <row r="8" spans="1:11" x14ac:dyDescent="0.25">
      <c r="A8" t="s">
        <v>51</v>
      </c>
      <c r="B8" s="18">
        <f>B6*B7</f>
        <v>437896451.5919408</v>
      </c>
      <c r="C8" s="18">
        <f>C6*C7</f>
        <v>411796807.69248384</v>
      </c>
      <c r="D8" s="18">
        <f>D6*D7</f>
        <v>391607633.6882206</v>
      </c>
      <c r="E8" s="18">
        <f>E6*E7</f>
        <v>376549639.13458866</v>
      </c>
      <c r="F8" s="18">
        <f>F6*F7</f>
        <v>366052772.2343685</v>
      </c>
      <c r="G8" s="18">
        <f>G6*G7</f>
        <v>359719634.87719023</v>
      </c>
      <c r="H8" s="18">
        <f>H6*H7</f>
        <v>357300207.5414253</v>
      </c>
      <c r="I8" s="18">
        <f>I6*I7</f>
        <v>358675606.2155111</v>
      </c>
      <c r="J8" s="18">
        <f>J6*J7</f>
        <v>363849397.87403995</v>
      </c>
      <c r="K8" s="18">
        <f>K6*K7</f>
        <v>372945632.8208909</v>
      </c>
    </row>
    <row r="9" spans="1:11" x14ac:dyDescent="0.25">
      <c r="A9" t="s">
        <v>52</v>
      </c>
      <c r="B9" s="18">
        <f>B8*(1-Assumptions!B8)</f>
        <v>345938196.75763327</v>
      </c>
      <c r="C9" s="18">
        <f>C8*(1-Assumptions!B8)</f>
        <v>325319478.07706225</v>
      </c>
      <c r="D9" s="18">
        <f>D8*(1-Assumptions!B8)</f>
        <v>309370030.6136943</v>
      </c>
      <c r="E9" s="18">
        <f>E8*(1-Assumptions!B8)</f>
        <v>297474214.91632503</v>
      </c>
      <c r="F9" s="18">
        <f>F8*(1-Assumptions!B8)</f>
        <v>289181690.06515115</v>
      </c>
      <c r="G9" s="18">
        <f>G8*(1-Assumptions!B8)</f>
        <v>284178511.5529803</v>
      </c>
      <c r="H9" s="18">
        <f>H8*(1-Assumptions!B8)</f>
        <v>282267163.957726</v>
      </c>
      <c r="I9" s="18">
        <f>I8*(1-Assumptions!B8)</f>
        <v>283353728.91025376</v>
      </c>
      <c r="J9" s="18">
        <f>J8*(1-Assumptions!B8)</f>
        <v>287441024.32049155</v>
      </c>
      <c r="K9" s="18">
        <f>K8*(1-Assumptions!B8)</f>
        <v>294627049.9285038</v>
      </c>
    </row>
    <row r="10" spans="1:11" x14ac:dyDescent="0.25">
      <c r="A10" t="s">
        <v>53</v>
      </c>
      <c r="B10" s="18">
        <f>B6*Assumptions!B9</f>
        <v>1369521844.4658248</v>
      </c>
      <c r="C10" s="18">
        <f>C6*Assumptions!B9</f>
        <v>1287895166.9187915</v>
      </c>
      <c r="D10" s="18">
        <f>D6*Assumptions!B9</f>
        <v>1224753493.3106992</v>
      </c>
      <c r="E10" s="18">
        <f>E6*Assumptions!B9</f>
        <v>1177659591.544481</v>
      </c>
      <c r="F10" s="18">
        <f>F6*Assumptions!B9</f>
        <v>1144830623.7233446</v>
      </c>
      <c r="G10" s="18">
        <f>G6*Assumptions!B9</f>
        <v>1125023726.6290045</v>
      </c>
      <c r="H10" s="18">
        <f>H6*Assumptions!B9</f>
        <v>1117456963.8124025</v>
      </c>
      <c r="I10" s="18">
        <f>I6*Assumptions!B9</f>
        <v>1121758525.3394759</v>
      </c>
      <c r="J10" s="18">
        <f>J6*Assumptions!B9</f>
        <v>1137939566.9288998</v>
      </c>
      <c r="K10" s="18">
        <f>K6*Assumptions!B9</f>
        <v>1166388056.102122</v>
      </c>
    </row>
    <row r="11" spans="1:11" x14ac:dyDescent="0.25">
      <c r="A11" t="s">
        <v>54</v>
      </c>
      <c r="B11" s="18">
        <f>-B6*B19</f>
        <v>-3992594048.1890974</v>
      </c>
      <c r="C11" s="18">
        <f>-C6*C19</f>
        <v>-3493072472.2792654</v>
      </c>
      <c r="D11" s="18">
        <f>-D6*D19</f>
        <v>-3073086995.864341</v>
      </c>
      <c r="E11" s="18">
        <f>-E6*E19</f>
        <v>-2715755065.980081</v>
      </c>
      <c r="F11" s="18">
        <f>-F6*F19</f>
        <v>-2407550176.951543</v>
      </c>
      <c r="G11" s="18">
        <f>-G6*G19</f>
        <v>-2137419993.9241655</v>
      </c>
      <c r="H11" s="18">
        <f>-H6*H19</f>
        <v>-1896103917.1831758</v>
      </c>
      <c r="I11" s="18">
        <f>-I6*I19</f>
        <v>-1675589161.6887107</v>
      </c>
      <c r="J11" s="18">
        <f>-J6*J19</f>
        <v>-1468659247.3038776</v>
      </c>
      <c r="K11" s="18">
        <f>-K6*K19</f>
        <v>-1268498431.0497203</v>
      </c>
    </row>
    <row r="12" spans="1:11" x14ac:dyDescent="0.25">
      <c r="A12" t="s">
        <v>55</v>
      </c>
      <c r="B12" s="18">
        <f>-(B6-Assumptions!B29)*Assumptions!B11</f>
        <v>44621377.86938601</v>
      </c>
      <c r="C12" s="18">
        <f>-(C6-B6)*Assumptions!B11</f>
        <v>49765840.82128441</v>
      </c>
      <c r="D12" s="18">
        <f>-(D6-C6)*Assumptions!B11</f>
        <v>38495974.262326375</v>
      </c>
      <c r="E12" s="18">
        <f>-(E6-D6)*Assumptions!B11</f>
        <v>28712030.054149874</v>
      </c>
      <c r="F12" s="18">
        <f>-(F6-E6)*Assumptions!B11</f>
        <v>20015039.641572755</v>
      </c>
      <c r="G12" s="18">
        <f>-(G6-F6)*Assumptions!B11</f>
        <v>12075793.326177249</v>
      </c>
      <c r="H12" s="18">
        <f>-(H6-G6)*Assumptions!B11</f>
        <v>4613275.03678502</v>
      </c>
      <c r="I12" s="18">
        <f>-(I6-H6)*Assumptions!B11</f>
        <v>-2622559.592921648</v>
      </c>
      <c r="J12" s="18">
        <f>-(J6-I6)*Assumptions!B11</f>
        <v>-9865195.598557366</v>
      </c>
      <c r="K12" s="18">
        <f>-(K6-J6)*Assumptions!B11</f>
        <v>-17344366.160007555</v>
      </c>
    </row>
    <row r="13" spans="1:11" x14ac:dyDescent="0.25">
      <c r="A13" s="19" t="s">
        <v>56</v>
      </c>
      <c r="B13" s="20">
        <f>B9+B10+B11+B12</f>
        <v>-2232512629.096253</v>
      </c>
      <c r="C13" s="20">
        <f>C9+C10+C11+C12</f>
        <v>-1830091986.4621272</v>
      </c>
      <c r="D13" s="20">
        <f>D9+D10+D11+D12</f>
        <v>-1500467497.6776206</v>
      </c>
      <c r="E13" s="20">
        <f>E9+E10+E11+E12</f>
        <v>-1211909229.465125</v>
      </c>
      <c r="F13" s="20">
        <f>F9+F10+F11+F12</f>
        <v>-953522823.5214744</v>
      </c>
      <c r="G13" s="20">
        <f>G9+G10+G11+G12</f>
        <v>-716141962.4160033</v>
      </c>
      <c r="H13" s="20">
        <f>H9+H10+H11+H12</f>
        <v>-491766514.3762623</v>
      </c>
      <c r="I13" s="20">
        <f>I9+I10+I11+I12</f>
        <v>-273099467.03190273</v>
      </c>
      <c r="J13" s="20">
        <f>J9+J10+J11+J12</f>
        <v>-53143851.65304364</v>
      </c>
      <c r="K13" s="20">
        <f>K9+K10+K11+K12</f>
        <v>175172308.82089797</v>
      </c>
    </row>
    <row r="14" spans="1:11" x14ac:dyDescent="0.25">
      <c r="A14" t="s">
        <v>57</v>
      </c>
      <c r="B14" s="21">
        <f>1/(1+Assumptions!$B$26)^(1-0.5*Assumptions!$B$32)</f>
        <v>0.9657736976873518</v>
      </c>
      <c r="C14" s="21">
        <f>1/(1+Assumptions!$B$26)^(2-0.5*Assumptions!$B$32)</f>
        <v>0.9007953183203365</v>
      </c>
      <c r="D14" s="21">
        <f>1/(1+Assumptions!$B$26)^(3-0.5*Assumptions!$B$32)</f>
        <v>0.8401887600075437</v>
      </c>
      <c r="E14" s="21">
        <f>1/(1+Assumptions!$B$26)^(4-0.5*Assumptions!$B$32)</f>
        <v>0.7836598815359063</v>
      </c>
      <c r="F14" s="21">
        <f>1/(1+Assumptions!$B$26)^(5-0.5*Assumptions!$B$32)</f>
        <v>0.7309343318558044</v>
      </c>
      <c r="G14" s="21">
        <f>1/(1+Assumptions!$B$26)^(6-0.5*Assumptions!$B$32)</f>
        <v>0.6817562185758155</v>
      </c>
      <c r="H14" s="21">
        <f>1/(1+Assumptions!$B$26)^(7-0.5*Assumptions!$B$32)</f>
        <v>0.6358868660426904</v>
      </c>
      <c r="I14" s="21">
        <f>1/(1+Assumptions!$B$26)^(8-0.5*Assumptions!$B$32)</f>
        <v>0.5931036569791521</v>
      </c>
      <c r="J14" s="21">
        <f>1/(1+Assumptions!$B$26)^(9-0.5*Assumptions!$B$32)</f>
        <v>0.5531989520576567</v>
      </c>
      <c r="K14" s="21">
        <f>1/(1+Assumptions!$B$26)^(10-0.5*Assumptions!$B$32)</f>
        <v>0.5159790821664864</v>
      </c>
    </row>
    <row r="15" spans="1:11" x14ac:dyDescent="0.25">
      <c r="A15" s="19" t="s">
        <v>58</v>
      </c>
      <c r="B15" s="20">
        <f>B13*B14</f>
        <v>-2156101976.9359994</v>
      </c>
      <c r="C15" s="20">
        <f>C13*C14</f>
        <v>-1648538293.500649</v>
      </c>
      <c r="D15" s="20">
        <f>D13*D14</f>
        <v>-1260675926.305382</v>
      </c>
      <c r="E15" s="20">
        <f>E13*E14</f>
        <v>-949724643.1949114</v>
      </c>
      <c r="F15" s="20">
        <f>F13*F14</f>
        <v>-696962567.9199289</v>
      </c>
      <c r="G15" s="20">
        <f>G13*G14</f>
        <v>-488234236.26019824</v>
      </c>
      <c r="H15" s="20">
        <f>H13*H14</f>
        <v>-312707867.6514591</v>
      </c>
      <c r="I15" s="20">
        <f>I13*I14</f>
        <v>-161976292.6156789</v>
      </c>
      <c r="J15" s="20">
        <f>J13*J14</f>
        <v>-29399123.04277131</v>
      </c>
      <c r="K15" s="20">
        <f>K13*K14</f>
        <v>90385247.12639123</v>
      </c>
    </row>
    <row r="17" spans="1:2" x14ac:dyDescent="0.25">
      <c r="A17" s="22" t="s">
        <v>59</v>
      </c>
      <c r="B17" s="23">
        <f>SUM(B15:K15)</f>
        <v>-7613935680.300586</v>
      </c>
    </row>
    <row r="19" spans="1:11" x14ac:dyDescent="0.25">
      <c r="A19" t="s">
        <v>7</v>
      </c>
      <c r="B19" s="9">
        <f>Assumptions!$B$10+($B$20-Assumptions!$B$10)*0/9</f>
        <v>0.2803042621431705</v>
      </c>
      <c r="C19" s="9">
        <f>Assumptions!$B$10+($B$20-Assumptions!$B$10)*1/9</f>
        <v>0.26077778551487424</v>
      </c>
      <c r="D19" s="9">
        <f>Assumptions!$B$10+($B$20-Assumptions!$B$10)*2/9</f>
        <v>0.241251308886578</v>
      </c>
      <c r="E19" s="9">
        <f>Assumptions!$B$10+($B$20-Assumptions!$B$10)*3/9</f>
        <v>0.22172483225828177</v>
      </c>
      <c r="F19" s="9">
        <f>Assumptions!$B$10+($B$20-Assumptions!$B$10)*4/9</f>
        <v>0.2021983556299855</v>
      </c>
      <c r="G19" s="9">
        <f>Assumptions!$B$10+($B$20-Assumptions!$B$10)*5/9</f>
        <v>0.18267187900168924</v>
      </c>
      <c r="H19" s="9">
        <f>Assumptions!$B$10+($B$20-Assumptions!$B$10)*6/9</f>
        <v>0.163145402373393</v>
      </c>
      <c r="I19" s="9">
        <f>Assumptions!$B$10+($B$20-Assumptions!$B$10)*7/9</f>
        <v>0.14361892574509674</v>
      </c>
      <c r="J19" s="9">
        <f>Assumptions!$B$10+($B$20-Assumptions!$B$10)*8/9</f>
        <v>0.12409244911680051</v>
      </c>
      <c r="K19" s="9">
        <f>Assumptions!$B$10+($B$20-Assumptions!$B$10)*9/9</f>
        <v>0.10456597248850424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0.10456597248850424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175172308.82089797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294627049.9285038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0.34657501737324226</v>
      </c>
    </row>
    <row r="7" spans="1:2" x14ac:dyDescent="0.25">
      <c r="A7" t="s">
        <v>66</v>
      </c>
      <c r="B7" s="18">
        <f>-MAX(B5,0)*B6</f>
        <v>-102110374.94759832</v>
      </c>
    </row>
    <row r="8" spans="1:2" x14ac:dyDescent="0.25">
      <c r="A8" t="s">
        <v>67</v>
      </c>
      <c r="B8" s="18">
        <f>IF(OR(Assumptions!$B$33=0,Assumptions!B12&lt;=0),B5,MAX(B5+B7,0))</f>
        <v>192516674.98090547</v>
      </c>
    </row>
    <row r="9" spans="1:2" x14ac:dyDescent="0.25">
      <c r="A9" t="s">
        <v>68</v>
      </c>
      <c r="B9" s="18">
        <f>B8*(1+Assumptions!B12)/(Assumptions!B26-Assumptions!B12)</f>
        <v>4186525372.85153</v>
      </c>
    </row>
    <row r="10" spans="1:2" x14ac:dyDescent="0.25">
      <c r="A10" t="s">
        <v>69</v>
      </c>
      <c r="B10" s="18">
        <f>B9/(1+Assumptions!B26)^(10-0.5*Assumptions!B32)</f>
        <v>2160159519.3506393</v>
      </c>
    </row>
    <row r="11" spans="1:2" x14ac:dyDescent="0.25">
      <c r="A11" t="s">
        <v>70</v>
      </c>
      <c r="B11" s="18">
        <f>Forecast!B17+B10</f>
        <v>-5453776160.949946</v>
      </c>
    </row>
    <row r="12" spans="1:2" x14ac:dyDescent="0.25">
      <c r="A12" t="s">
        <v>71</v>
      </c>
      <c r="B12" s="18">
        <f>-Assumptions!B30</f>
        <v>-27133175000</v>
      </c>
    </row>
    <row r="13" spans="1:2" x14ac:dyDescent="0.25">
      <c r="A13" t="s">
        <v>72</v>
      </c>
      <c r="B13" s="18">
        <f>B11+B12</f>
        <v>-32586951160.949947</v>
      </c>
    </row>
    <row r="14" spans="1:2" x14ac:dyDescent="0.25">
      <c r="A14" s="19" t="s">
        <v>73</v>
      </c>
      <c r="B14" s="24">
        <f>B13/Assumptions!B31</f>
        <v>-113.31083998675174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1539333688.923013</v>
      </c>
    </row>
    <row r="18" spans="1:2" x14ac:dyDescent="0.25">
      <c r="A18" t="s">
        <v>68</v>
      </c>
      <c r="B18" s="18">
        <f>B17*Assumptions!B13</f>
        <v>30786673778.46026</v>
      </c>
    </row>
    <row r="19" spans="1:2" x14ac:dyDescent="0.25">
      <c r="A19" t="s">
        <v>69</v>
      </c>
      <c r="B19" s="18">
        <f>B18/(1+Assumptions!B26)^(10-0.5*Assumptions!B32)</f>
        <v>15885279679.168957</v>
      </c>
    </row>
    <row r="20" spans="1:2" x14ac:dyDescent="0.25">
      <c r="A20" t="s">
        <v>70</v>
      </c>
      <c r="B20" s="18">
        <f>Forecast!B17+B19</f>
        <v>8271343998.868371</v>
      </c>
    </row>
    <row r="21" spans="1:2" x14ac:dyDescent="0.25">
      <c r="A21" t="s">
        <v>71</v>
      </c>
      <c r="B21" s="18">
        <f>-Assumptions!B30</f>
        <v>-27133175000</v>
      </c>
    </row>
    <row r="22" spans="1:2" x14ac:dyDescent="0.25">
      <c r="A22" t="s">
        <v>72</v>
      </c>
      <c r="B22" s="18">
        <f>B20+B21</f>
        <v>-18861831001.13163</v>
      </c>
    </row>
    <row r="23" spans="1:2" x14ac:dyDescent="0.25">
      <c r="A23" s="19" t="s">
        <v>73</v>
      </c>
      <c r="B23" s="25">
        <f>B22/Assumptions!B31</f>
        <v>-65.58606553495311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96.94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-113.31083998675174</v>
      </c>
    </row>
    <row r="29" spans="1:2" x14ac:dyDescent="0.25">
      <c r="A29" s="19" t="s">
        <v>81</v>
      </c>
      <c r="B29" s="11">
        <f>B28/B26-1</f>
        <v>-2.1688760056401044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0.052134</v>
      </c>
      <c r="B5" s="31">
        <v>-109.55758141979503</v>
      </c>
      <c r="C5" s="31">
        <v>-109.84115404174344</v>
      </c>
      <c r="D5" s="31">
        <v>-110.12472666369187</v>
      </c>
      <c r="E5" s="31">
        <v>-110.40829928564028</v>
      </c>
      <c r="F5" s="31">
        <v>-110.69187190758872</v>
      </c>
    </row>
    <row r="6" spans="1:6" x14ac:dyDescent="0.25">
      <c r="A6" s="30">
        <v>0.062134</v>
      </c>
      <c r="B6" s="31">
        <v>-111.64118776531</v>
      </c>
      <c r="C6" s="31">
        <v>-111.86622362021582</v>
      </c>
      <c r="D6" s="31">
        <v>-112.09125947512167</v>
      </c>
      <c r="E6" s="31">
        <v>-112.3162953300275</v>
      </c>
      <c r="F6" s="31">
        <v>-112.54133118493333</v>
      </c>
    </row>
    <row r="7" spans="1:6" x14ac:dyDescent="0.25">
      <c r="A7" s="30">
        <v>0.072134</v>
      </c>
      <c r="B7" s="31">
        <v>-112.9438040862123</v>
      </c>
      <c r="C7" s="31">
        <v>-113.12730031634104</v>
      </c>
      <c r="D7" s="32">
        <v>-113.31079654646976</v>
      </c>
      <c r="E7" s="31">
        <v>-113.4942927765985</v>
      </c>
      <c r="F7" s="31">
        <v>-113.67778900672724</v>
      </c>
    </row>
    <row r="8" spans="1:6" x14ac:dyDescent="0.25">
      <c r="A8" s="30">
        <v>0.082134</v>
      </c>
      <c r="B8" s="31">
        <v>-113.76397714145784</v>
      </c>
      <c r="C8" s="31">
        <v>-113.91666807756326</v>
      </c>
      <c r="D8" s="31">
        <v>-114.06935901366866</v>
      </c>
      <c r="E8" s="31">
        <v>-114.22204994977407</v>
      </c>
      <c r="F8" s="31">
        <v>-114.37474088587948</v>
      </c>
    </row>
    <row r="9" spans="1:6" x14ac:dyDescent="0.25">
      <c r="A9" s="30">
        <v>0.092134</v>
      </c>
      <c r="B9" s="31">
        <v>-114.269604476147</v>
      </c>
      <c r="C9" s="31">
        <v>-114.3986850714294</v>
      </c>
      <c r="D9" s="31">
        <v>-114.5277656667118</v>
      </c>
      <c r="E9" s="31">
        <v>-114.65684626199419</v>
      </c>
      <c r="F9" s="31">
        <v>-114.7859268572766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15004989000</v>
      </c>
      <c r="C5" s="18">
        <v>15825516000</v>
      </c>
      <c r="D5" s="18">
        <v>17015598000</v>
      </c>
      <c r="E5" s="18">
        <v>18634246000</v>
      </c>
      <c r="F5" s="6" t="s">
        <v>91</v>
      </c>
    </row>
    <row r="6" spans="1:6" x14ac:dyDescent="0.25">
      <c r="A6" t="s">
        <v>51</v>
      </c>
      <c r="B6" s="18">
        <v>-91135000</v>
      </c>
      <c r="C6" s="18">
        <v>-304070000</v>
      </c>
      <c r="D6" s="18">
        <v>483190000</v>
      </c>
      <c r="E6" s="18">
        <v>2233549000</v>
      </c>
      <c r="F6" s="6" t="s">
        <v>92</v>
      </c>
    </row>
    <row r="7" spans="1:6" x14ac:dyDescent="0.25">
      <c r="A7" t="s">
        <v>93</v>
      </c>
      <c r="B7" s="18">
        <v>1585549000</v>
      </c>
      <c r="C7" s="18">
        <v>1930193000</v>
      </c>
      <c r="D7" s="18">
        <v>1597923000</v>
      </c>
      <c r="E7" s="18">
        <v>1174895000</v>
      </c>
      <c r="F7" s="6" t="s">
        <v>94</v>
      </c>
    </row>
    <row r="8" spans="1:6" x14ac:dyDescent="0.25">
      <c r="A8" t="s">
        <v>95</v>
      </c>
      <c r="B8" s="18">
        <v>1642041000</v>
      </c>
      <c r="C8" s="18">
        <v>2497728000</v>
      </c>
      <c r="D8" s="18">
        <v>4265403000</v>
      </c>
      <c r="E8" s="18">
        <v>11241646000</v>
      </c>
      <c r="F8" s="6" t="s">
        <v>96</v>
      </c>
    </row>
    <row r="9" spans="1:6" x14ac:dyDescent="0.25">
      <c r="A9" t="s">
        <v>97</v>
      </c>
      <c r="B9" s="18">
        <v>433562000</v>
      </c>
      <c r="C9" s="18">
        <v>154314000</v>
      </c>
      <c r="D9" s="18">
        <v>-327538000</v>
      </c>
      <c r="E9" s="18">
        <v>159958000</v>
      </c>
      <c r="F9" s="6" t="s">
        <v>98</v>
      </c>
    </row>
    <row r="10" spans="1:6" x14ac:dyDescent="0.25">
      <c r="A10" t="s">
        <v>99</v>
      </c>
      <c r="B10" s="18">
        <v>30117140000</v>
      </c>
      <c r="C10" s="18">
        <v>29814724000</v>
      </c>
      <c r="D10" s="18">
        <v>25885227000</v>
      </c>
      <c r="E10" s="18">
        <v>25704894000</v>
      </c>
      <c r="F10" s="6" t="s">
        <v>100</v>
      </c>
    </row>
    <row r="11" spans="1:6" x14ac:dyDescent="0.25">
      <c r="A11" t="s">
        <v>101</v>
      </c>
      <c r="B11" s="18">
        <v>2983965000</v>
      </c>
      <c r="C11" s="18">
        <v>5547429000</v>
      </c>
      <c r="D11" s="18">
        <v>2444420000</v>
      </c>
      <c r="E11" s="18">
        <v>4307434000</v>
      </c>
      <c r="F11" s="6" t="s">
        <v>102</v>
      </c>
    </row>
    <row r="12" spans="1:6" x14ac:dyDescent="0.25">
      <c r="A12" t="s">
        <v>34</v>
      </c>
      <c r="B12" s="34">
        <v>287589000</v>
      </c>
      <c r="C12" s="34">
        <v>274079000</v>
      </c>
      <c r="D12" s="34">
        <v>270842000</v>
      </c>
      <c r="E12" s="34">
        <v>307733000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