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<sst xmlns="http://schemas.openxmlformats.org/spreadsheetml/2006/main" count="120" uniqueCount="107">
  <si>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Ecolab Inc. (ECL)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</si>
  <si>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</si>
  <si>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</si>
  <si>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</si>
  <si>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</si>
  <si>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</si>
  <si>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</si>
  <si>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</si>
  <si>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</si>
  <si>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</si>
  <si>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</si>
  <si>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</si>
  <si>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</si>
  <si>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</si>
  <si>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</si>
  <si>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</si>
  <si>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</si>
  <si>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</si>
  <si>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</si>
  <si>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</si>
  <si>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</si>
  <si>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</si>
  <si>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</si>
  <si>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</si>
  <si>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9.4x interest cover.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</si>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</sst>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0.11384733166679095</v>
      </c>
    </row>
    <row r="7" spans="1:2" x14ac:dyDescent="0.25">
      <c r="A7" t="s">
        <v>4</v>
      </c>
      <c r="B7" s="5">
        <v>0.1508109314297588</v>
      </c>
    </row>
    <row r="8" spans="1:2" x14ac:dyDescent="0.25">
      <c r="A8" t="s">
        <v>5</v>
      </c>
      <c r="B8" s="5">
        <v>0.17648926952620397</v>
      </c>
    </row>
    <row r="9" spans="1:2" x14ac:dyDescent="0.25">
      <c r="A9" t="s">
        <v>6</v>
      </c>
      <c r="B9" s="5">
        <v>0.06164717044439115</v>
      </c>
    </row>
    <row r="10" spans="1:3" x14ac:dyDescent="0.25">
      <c r="A10" t="s">
        <v>7</v>
      </c>
      <c r="B10" s="5">
        <v>0.05729484373118122</v>
      </c>
      <c r="C10" s="6" t="s">
        <v>8</v>
      </c>
    </row>
    <row r="11" spans="1:2" x14ac:dyDescent="0.25">
      <c r="A11" t="s">
        <v>9</v>
      </c>
      <c r="B11" s="5">
        <v>0.1732224821259754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0.11931241536310103</v>
      </c>
      <c r="C14" s="6" t="s">
        <v>13</v>
      </c>
    </row>
    <row r="15" spans="1:3" x14ac:dyDescent="0.25">
      <c r="A15" t="s">
        <v>14</v>
      </c>
      <c r="B15" s="5">
        <v>0.04150155168392287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0.91893</v>
      </c>
      <c r="C19" s="6" t="s">
        <v>21</v>
      </c>
    </row>
    <row r="20" spans="1:2" x14ac:dyDescent="0.25">
      <c r="A20" t="s">
        <v>22</v>
      </c>
      <c r="B20" s="9">
        <f>B17+B19*B18</f>
        <v>0.087810739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84976132096</v>
      </c>
    </row>
    <row r="23" spans="1:2" x14ac:dyDescent="0.25">
      <c r="A23" t="s">
        <v>26</v>
      </c>
      <c r="B23" s="10">
        <v>8997500000</v>
      </c>
    </row>
    <row r="24" spans="1:2" x14ac:dyDescent="0.25">
      <c r="A24" t="s">
        <v>27</v>
      </c>
      <c r="B24" s="9">
        <f>B22/(B22+B23)</f>
        <v>0.9042550575164693</v>
      </c>
    </row>
    <row r="25" spans="1:2" x14ac:dyDescent="0.25">
      <c r="A25" t="s">
        <v>28</v>
      </c>
      <c r="B25" s="9">
        <f>1-B24</f>
        <v>0.09574494248353072</v>
      </c>
    </row>
    <row r="26" spans="1:2" x14ac:dyDescent="0.25">
      <c r="A26" t="s">
        <v>29</v>
      </c>
      <c r="B26" s="11">
        <f>B24*B20+B25*B21*(1-B8)</f>
        <v>0.0835774643645178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16081200000</v>
      </c>
      <c r="C29" s="6" t="s">
        <v>32</v>
      </c>
    </row>
    <row r="30" spans="1:2" x14ac:dyDescent="0.25">
      <c r="A30" t="s">
        <v>33</v>
      </c>
      <c r="B30" s="10">
        <v>8351300000</v>
      </c>
    </row>
    <row r="31" spans="1:2" x14ac:dyDescent="0.25">
      <c r="A31" t="s">
        <v>34</v>
      </c>
      <c r="B31" s="12">
        <v>285200000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0.11384733166679095</v>
      </c>
      <c r="C5" s="5">
        <v>0.08007125352155864</v>
      </c>
      <c r="D5" s="5">
        <v>0.07318734683136381</v>
      </c>
      <c r="E5" s="5">
        <v>0.06630344014116898</v>
      </c>
      <c r="F5" s="5">
        <v>0.05941953345097415</v>
      </c>
      <c r="G5" s="5">
        <v>0.052535626760779316</v>
      </c>
      <c r="H5" s="5">
        <v>0.04565172007058449</v>
      </c>
      <c r="I5" s="5">
        <v>0.03876781338038966</v>
      </c>
      <c r="J5" s="5">
        <v>0.03188390669019483</v>
      </c>
      <c r="K5" s="5">
        <v>0.025</v>
      </c>
    </row>
    <row r="6" spans="1:11" x14ac:dyDescent="0.25">
      <c r="A6" t="s">
        <v>50</v>
      </c>
      <c r="B6" s="18">
        <f>Assumptions!B29*(1+B5)</f>
        <v>17912001710</v>
      </c>
      <c r="C6" s="18">
        <f>B6*(1+C5)</f>
        <v>19346238140</v>
      </c>
      <c r="D6" s="18">
        <f>C6*(1+D5)</f>
        <v>20762137980.63434</v>
      </c>
      <c r="E6" s="18">
        <f>D6*(1+E5)</f>
        <v>22138739153.43602</v>
      </c>
      <c r="F6" s="18">
        <f>E6*(1+F5)</f>
        <v>23454212705.126003</v>
      </c>
      <c r="G6" s="18">
        <f>F6*(1+G5)</f>
        <v>24686394469.77043</v>
      </c>
      <c r="H6" s="18">
        <f>G6*(1+H5)</f>
        <v>25813370839.656414</v>
      </c>
      <c r="I6" s="18">
        <f>H6*(1+I5)</f>
        <v>26814098783.087006</v>
      </c>
      <c r="J6" s="18">
        <f>I6*(1+J5)</f>
        <v>27669037006.668617</v>
      </c>
      <c r="K6" s="18">
        <f>J6*(1+K5)</f>
        <v>28360762931.83533</v>
      </c>
    </row>
    <row r="7" spans="1:11" x14ac:dyDescent="0.25">
      <c r="A7" t="s">
        <v>4</v>
      </c>
      <c r="B7" s="9">
        <f>Assumptions!B7</f>
        <v>0.1508109314297588</v>
      </c>
      <c r="C7" s="9">
        <f>Assumptions!B7</f>
        <v>0.1508109314297588</v>
      </c>
      <c r="D7" s="9">
        <f>Assumptions!B7</f>
        <v>0.1508109314297588</v>
      </c>
      <c r="E7" s="9">
        <f>Assumptions!B7</f>
        <v>0.1508109314297588</v>
      </c>
      <c r="F7" s="9">
        <f>Assumptions!B7</f>
        <v>0.1508109314297588</v>
      </c>
      <c r="G7" s="9">
        <f>Assumptions!B7</f>
        <v>0.1508109314297588</v>
      </c>
      <c r="H7" s="9">
        <f>Assumptions!B7</f>
        <v>0.1508109314297588</v>
      </c>
      <c r="I7" s="9">
        <f>Assumptions!B7</f>
        <v>0.1508109314297588</v>
      </c>
      <c r="J7" s="9">
        <f>Assumptions!B7</f>
        <v>0.1508109314297588</v>
      </c>
      <c r="K7" s="9">
        <f>Assumptions!B7</f>
        <v>0.1508109314297588</v>
      </c>
    </row>
    <row r="8" spans="1:11" x14ac:dyDescent="0.25">
      <c r="A8" t="s">
        <v>51</v>
      </c>
      <c r="B8" s="18">
        <f>B6*B7</f>
        <v>2701325661.6565323</v>
      </c>
      <c r="C8" s="18">
        <f>C6*C7</f>
        <v>2917624193.555324</v>
      </c>
      <c r="D8" s="18">
        <f>D6*D7</f>
        <v>3131157367.332636</v>
      </c>
      <c r="E8" s="18">
        <f>E6*E7</f>
        <v>3338763872.410156</v>
      </c>
      <c r="F8" s="18">
        <f>F6*F7</f>
        <v>3537151664.011735</v>
      </c>
      <c r="G8" s="18">
        <f>G6*G7</f>
        <v>3722978143.6285253</v>
      </c>
      <c r="H8" s="18">
        <f>H6*H7</f>
        <v>3892938499.6703587</v>
      </c>
      <c r="I8" s="18">
        <f>I6*I7</f>
        <v>4043859212.9269133</v>
      </c>
      <c r="J8" s="18">
        <f>J6*J7</f>
        <v>4172793242.7401595</v>
      </c>
      <c r="K8" s="18">
        <f>K6*K7</f>
        <v>4277113073.808663</v>
      </c>
    </row>
    <row r="9" spans="1:11" x14ac:dyDescent="0.25">
      <c r="A9" t="s">
        <v>52</v>
      </c>
      <c r="B9" s="18">
        <f>B8*(1-Assumptions!B8)</f>
        <v>2224570668.8783813</v>
      </c>
      <c r="C9" s="18">
        <f>C8*(1-Assumptions!B8)</f>
        <v>2402694830.8827653</v>
      </c>
      <c r="D9" s="18">
        <f>D8*(1-Assumptions!B8)</f>
        <v>2578541690.800507</v>
      </c>
      <c r="E9" s="18">
        <f>E8*(1-Assumptions!B8)</f>
        <v>2749507875.4480076</v>
      </c>
      <c r="F9" s="18">
        <f>F8*(1-Assumptions!B8)</f>
        <v>2912882350.6269073</v>
      </c>
      <c r="G9" s="18">
        <f>G8*(1-Assumptions!B8)</f>
        <v>3065912450.597504</v>
      </c>
      <c r="H9" s="18">
        <f>H8*(1-Assumptions!B8)</f>
        <v>3205876627.553101</v>
      </c>
      <c r="I9" s="18">
        <f>I8*(1-Assumptions!B8)</f>
        <v>3330161454.3706326</v>
      </c>
      <c r="J9" s="18">
        <f>J8*(1-Assumptions!B8)</f>
        <v>3436340011.445069</v>
      </c>
      <c r="K9" s="18">
        <f>K8*(1-Assumptions!B8)</f>
        <v>3522248511.7311954</v>
      </c>
    </row>
    <row r="10" spans="1:11" x14ac:dyDescent="0.25">
      <c r="A10" t="s">
        <v>53</v>
      </c>
      <c r="B10" s="18">
        <f>B6*Assumptions!B9</f>
        <v>1104224222.4165957</v>
      </c>
      <c r="C10" s="18">
        <f>C6*Assumptions!B9</f>
        <v>1192640840.0743608</v>
      </c>
      <c r="D10" s="18">
        <f>D6*Assumptions!B9</f>
        <v>1279927058.882132</v>
      </c>
      <c r="E10" s="18">
        <f>E6*Assumptions!B9</f>
        <v>1364790626.0157862</v>
      </c>
      <c r="F10" s="18">
        <f>F6*Assumptions!B9</f>
        <v>1445885848.271907</v>
      </c>
      <c r="G10" s="18">
        <f>G6*Assumptions!B9</f>
        <v>1521846367.5354128</v>
      </c>
      <c r="H10" s="18">
        <f>H6*Assumptions!B9</f>
        <v>1591321271.8965752</v>
      </c>
      <c r="I10" s="18">
        <f>I6*Assumptions!B9</f>
        <v>1653013317.993706</v>
      </c>
      <c r="J10" s="18">
        <f>J6*Assumptions!B9</f>
        <v>1705717840.3822665</v>
      </c>
      <c r="K10" s="18">
        <f>K6*Assumptions!B9</f>
        <v>1748360786.391823</v>
      </c>
    </row>
    <row r="11" spans="1:11" x14ac:dyDescent="0.25">
      <c r="A11" t="s">
        <v>54</v>
      </c>
      <c r="B11" s="18">
        <f>-B6*B19</f>
        <v>-1026265338.8871007</v>
      </c>
      <c r="C11" s="18">
        <f>-C6*C19</f>
        <v>-1137901538.7731273</v>
      </c>
      <c r="D11" s="18">
        <f>-D6*D19</f>
        <v>-1252799615.5768507</v>
      </c>
      <c r="E11" s="18">
        <f>-E6*E19</f>
        <v>-1369579009.744945</v>
      </c>
      <c r="F11" s="18">
        <f>-F6*F19</f>
        <v>-1486676523.4449558</v>
      </c>
      <c r="G11" s="18">
        <f>-G6*G19</f>
        <v>-1602374229.635393</v>
      </c>
      <c r="H11" s="18">
        <f>-H6*H19</f>
        <v>-1714835833.611403</v>
      </c>
      <c r="I11" s="18">
        <f>-I6*I19</f>
        <v>-1822150714.1230927</v>
      </c>
      <c r="J11" s="18">
        <f>-J6*J19</f>
        <v>-1922384404.035996</v>
      </c>
      <c r="K11" s="18">
        <f>-K6*K19</f>
        <v>-2013633830.869435</v>
      </c>
    </row>
    <row r="12" spans="1:11" x14ac:dyDescent="0.25">
      <c r="A12" t="s">
        <v>55</v>
      </c>
      <c r="B12" s="18">
        <f>-(B6-Assumptions!B29)*Assumptions!B11</f>
        <v>-317136016.4866802</v>
      </c>
      <c r="C12" s="18">
        <f>-(C6-B6)*Assumptions!B11</f>
        <v>-248441994.36009777</v>
      </c>
      <c r="D12" s="18">
        <f>-(D6-C6)*Assumptions!B11</f>
        <v>-245265684.8364531</v>
      </c>
      <c r="E12" s="18">
        <f>-(E6-D6)*Assumptions!B11</f>
        <v>-238458272.05023605</v>
      </c>
      <c r="F12" s="18">
        <f>-(F6-E6)*Assumptions!B11</f>
        <v>-227869593.79481152</v>
      </c>
      <c r="G12" s="18">
        <f>-(G6-F6)*Assumptions!B11</f>
        <v>-213441583.70207232</v>
      </c>
      <c r="H12" s="18">
        <f>-(H6-G6)*Assumptions!B11</f>
        <v>-195217644.08897126</v>
      </c>
      <c r="I12" s="18">
        <f>-(I6-H6)*Assumptions!B11</f>
        <v>-173348578.2938698</v>
      </c>
      <c r="J12" s="18">
        <f>-(J6-I6)*Assumptions!B11</f>
        <v>-148094521.1531789</v>
      </c>
      <c r="K12" s="18">
        <f>-(K6-J6)*Assumptions!B11</f>
        <v>-119822481.70826487</v>
      </c>
    </row>
    <row r="13" spans="1:11" x14ac:dyDescent="0.25">
      <c r="A13" s="19" t="s">
        <v>56</v>
      </c>
      <c r="B13" s="20">
        <f>B9+B10+B11+B12</f>
        <v>1985393535.9211962</v>
      </c>
      <c r="C13" s="20">
        <f>C9+C10+C11+C12</f>
        <v>2208992137.823901</v>
      </c>
      <c r="D13" s="20">
        <f>D9+D10+D11+D12</f>
        <v>2360403449.2693353</v>
      </c>
      <c r="E13" s="20">
        <f>E9+E10+E11+E12</f>
        <v>2506261219.6686125</v>
      </c>
      <c r="F13" s="20">
        <f>F9+F10+F11+F12</f>
        <v>2644222081.6590466</v>
      </c>
      <c r="G13" s="20">
        <f>G9+G10+G11+G12</f>
        <v>2771943004.795452</v>
      </c>
      <c r="H13" s="20">
        <f>H9+H10+H11+H12</f>
        <v>2887144421.7493024</v>
      </c>
      <c r="I13" s="20">
        <f>I9+I10+I11+I12</f>
        <v>2987675479.9473763</v>
      </c>
      <c r="J13" s="20">
        <f>J9+J10+J11+J12</f>
        <v>3071578926.6381607</v>
      </c>
      <c r="K13" s="20">
        <f>K9+K10+K11+K12</f>
        <v>3137152985.545318</v>
      </c>
    </row>
    <row r="14" spans="1:11" x14ac:dyDescent="0.25">
      <c r="A14" t="s">
        <v>57</v>
      </c>
      <c r="B14" s="21">
        <f>1/(1+Assumptions!$B$26)^(1-0.5*Assumptions!$B$32)</f>
        <v>0.9606606856585876</v>
      </c>
      <c r="C14" s="21">
        <f>1/(1+Assumptions!$B$26)^(2-0.5*Assumptions!$B$32)</f>
        <v>0.8865639211332097</v>
      </c>
      <c r="D14" s="21">
        <f>1/(1+Assumptions!$B$26)^(3-0.5*Assumptions!$B$32)</f>
        <v>0.8181823176372074</v>
      </c>
      <c r="E14" s="21">
        <f>1/(1+Assumptions!$B$26)^(4-0.5*Assumptions!$B$32)</f>
        <v>0.7550750588164402</v>
      </c>
      <c r="F14" s="21">
        <f>1/(1+Assumptions!$B$26)^(5-0.5*Assumptions!$B$32)</f>
        <v>0.6968353289437104</v>
      </c>
      <c r="G14" s="21">
        <f>1/(1+Assumptions!$B$26)^(6-0.5*Assumptions!$B$32)</f>
        <v>0.6430876904148068</v>
      </c>
      <c r="H14" s="21">
        <f>1/(1+Assumptions!$B$26)^(7-0.5*Assumptions!$B$32)</f>
        <v>0.593485663521026</v>
      </c>
      <c r="I14" s="21">
        <f>1/(1+Assumptions!$B$26)^(8-0.5*Assumptions!$B$32)</f>
        <v>0.5477094928963715</v>
      </c>
      <c r="J14" s="21">
        <f>1/(1+Assumptions!$B$26)^(9-0.5*Assumptions!$B$32)</f>
        <v>0.5054640862410191</v>
      </c>
      <c r="K14" s="21">
        <f>1/(1+Assumptions!$B$26)^(10-0.5*Assumptions!$B$32)</f>
        <v>0.4664771120332012</v>
      </c>
    </row>
    <row r="15" spans="1:11" x14ac:dyDescent="0.25">
      <c r="A15" s="19" t="s">
        <v>58</v>
      </c>
      <c r="B15" s="20">
        <f>B13*B14</f>
        <v>1907289515.520184</v>
      </c>
      <c r="C15" s="20">
        <f>C13*C14</f>
        <v>1958412731.4615893</v>
      </c>
      <c r="D15" s="20">
        <f>D13*D14</f>
        <v>1931240364.6820433</v>
      </c>
      <c r="E15" s="20">
        <f>E13*E14</f>
        <v>1892415337.8506408</v>
      </c>
      <c r="F15" s="20">
        <f>F13*F14</f>
        <v>1842587364.0731044</v>
      </c>
      <c r="G15" s="20">
        <f>G13*G14</f>
        <v>1782602424.9153872</v>
      </c>
      <c r="H15" s="20">
        <f>H13*H14</f>
        <v>1713478822.822914</v>
      </c>
      <c r="I15" s="20">
        <f>I13*I14</f>
        <v>1636378222.0609007</v>
      </c>
      <c r="J15" s="20">
        <f>J13*J14</f>
        <v>1552572835.4703283</v>
      </c>
      <c r="K15" s="20">
        <f>K13*K14</f>
        <v>1463410064.703515</v>
      </c>
    </row>
    <row r="17" spans="1:2" x14ac:dyDescent="0.25">
      <c r="A17" s="22" t="s">
        <v>59</v>
      </c>
      <c r="B17" s="23">
        <f>SUM(B15:K15)</f>
        <v>17680387683.560608</v>
      </c>
    </row>
    <row r="19" spans="1:11" x14ac:dyDescent="0.25">
      <c r="A19" t="s">
        <v>7</v>
      </c>
      <c r="B19" s="9">
        <f>Assumptions!$B$10+($B$20-Assumptions!$B$10)*0/9</f>
        <v>0.05729484373118122</v>
      </c>
      <c r="C19" s="9">
        <f>Assumptions!$B$10+($B$20-Assumptions!$B$10)*1/9</f>
        <v>0.058817715906247355</v>
      </c>
      <c r="D19" s="9">
        <f>Assumptions!$B$10+($B$20-Assumptions!$B$10)*2/9</f>
        <v>0.0603405880813135</v>
      </c>
      <c r="E19" s="9">
        <f>Assumptions!$B$10+($B$20-Assumptions!$B$10)*3/9</f>
        <v>0.061863460256379635</v>
      </c>
      <c r="F19" s="9">
        <f>Assumptions!$B$10+($B$20-Assumptions!$B$10)*4/9</f>
        <v>0.06338633243144577</v>
      </c>
      <c r="G19" s="9">
        <f>Assumptions!$B$10+($B$20-Assumptions!$B$10)*5/9</f>
        <v>0.06490920460651191</v>
      </c>
      <c r="H19" s="9">
        <f>Assumptions!$B$10+($B$20-Assumptions!$B$10)*6/9</f>
        <v>0.06643207678157806</v>
      </c>
      <c r="I19" s="9">
        <f>Assumptions!$B$10+($B$20-Assumptions!$B$10)*7/9</f>
        <v>0.0679549489566442</v>
      </c>
      <c r="J19" s="9">
        <f>Assumptions!$B$10+($B$20-Assumptions!$B$10)*8/9</f>
        <v>0.06947782113171033</v>
      </c>
      <c r="K19" s="9">
        <f>Assumptions!$B$10+($B$20-Assumptions!$B$10)*9/9</f>
        <v>0.07100069330677647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0.07100069330677647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3137152985.545318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3992757347.0274787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0.2095339359606292</v>
      </c>
    </row>
    <row r="7" spans="1:2" x14ac:dyDescent="0.25">
      <c r="A7" t="s">
        <v>66</v>
      </c>
      <c r="B7" s="18">
        <f>-MAX(B5,0)*B6</f>
        <v>-836618162.2583874</v>
      </c>
    </row>
    <row r="8" spans="1:2" x14ac:dyDescent="0.25">
      <c r="A8" t="s">
        <v>67</v>
      </c>
      <c r="B8" s="18">
        <f>IF(OR(Assumptions!$B$33=0,Assumptions!B12&lt;=0),B5,MAX(B5+B7,0))</f>
        <v>3156139184.769091</v>
      </c>
    </row>
    <row r="9" spans="1:2" x14ac:dyDescent="0.25">
      <c r="A9" t="s">
        <v>68</v>
      </c>
      <c r="B9" s="18">
        <f>B8*(1+Assumptions!B12)/(Assumptions!B26-Assumptions!B12)</f>
        <v>55226744610.47318</v>
      </c>
    </row>
    <row r="10" spans="1:2" x14ac:dyDescent="0.25">
      <c r="A10" t="s">
        <v>69</v>
      </c>
      <c r="B10" s="18">
        <f>B9/(1+Assumptions!B26)^(10-0.5*Assumptions!B32)</f>
        <v>25762012332.888687</v>
      </c>
    </row>
    <row r="11" spans="1:2" x14ac:dyDescent="0.25">
      <c r="A11" t="s">
        <v>70</v>
      </c>
      <c r="B11" s="18">
        <f>Forecast!B17+B10</f>
        <v>43442400016.449295</v>
      </c>
    </row>
    <row r="12" spans="1:2" x14ac:dyDescent="0.25">
      <c r="A12" t="s">
        <v>71</v>
      </c>
      <c r="B12" s="18">
        <f>-Assumptions!B30</f>
        <v>-8351300000</v>
      </c>
    </row>
    <row r="13" spans="1:2" x14ac:dyDescent="0.25">
      <c r="A13" t="s">
        <v>72</v>
      </c>
      <c r="B13" s="18">
        <f>B11+B12</f>
        <v>35091100016.449295</v>
      </c>
    </row>
    <row r="14" spans="1:2" x14ac:dyDescent="0.25">
      <c r="A14" s="19" t="s">
        <v>73</v>
      </c>
      <c r="B14" s="24">
        <f>B13/Assumptions!B31</f>
        <v>123.04032263832151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6025473860.200486</v>
      </c>
    </row>
    <row r="18" spans="1:2" x14ac:dyDescent="0.25">
      <c r="A18" t="s">
        <v>68</v>
      </c>
      <c r="B18" s="18">
        <f>B17*Assumptions!B13</f>
        <v>120509477204.00972</v>
      </c>
    </row>
    <row r="19" spans="1:2" x14ac:dyDescent="0.25">
      <c r="A19" t="s">
        <v>69</v>
      </c>
      <c r="B19" s="18">
        <f>B18/(1+Assumptions!B26)^(10-0.5*Assumptions!B32)</f>
        <v>56214912898.75735</v>
      </c>
    </row>
    <row r="20" spans="1:2" x14ac:dyDescent="0.25">
      <c r="A20" t="s">
        <v>70</v>
      </c>
      <c r="B20" s="18">
        <f>Forecast!B17+B19</f>
        <v>73895300582.31796</v>
      </c>
    </row>
    <row r="21" spans="1:2" x14ac:dyDescent="0.25">
      <c r="A21" t="s">
        <v>71</v>
      </c>
      <c r="B21" s="18">
        <f>-Assumptions!B30</f>
        <v>-8351300000</v>
      </c>
    </row>
    <row r="22" spans="1:2" x14ac:dyDescent="0.25">
      <c r="A22" t="s">
        <v>72</v>
      </c>
      <c r="B22" s="18">
        <f>B20+B21</f>
        <v>65544000582.31796</v>
      </c>
    </row>
    <row r="23" spans="1:2" x14ac:dyDescent="0.25">
      <c r="A23" s="19" t="s">
        <v>73</v>
      </c>
      <c r="B23" s="25">
        <f>B22/Assumptions!B31</f>
        <v>229.81767385104476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302.98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123.04032263832151</v>
      </c>
    </row>
    <row r="29" spans="1:2" x14ac:dyDescent="0.25">
      <c r="A29" s="19" t="s">
        <v>81</v>
      </c>
      <c r="B29" s="11">
        <f>B28/B26-1</f>
        <v>-0.593899522614293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0.063577</v>
      </c>
      <c r="B5" s="31">
        <v>184.4349343105283</v>
      </c>
      <c r="C5" s="31">
        <v>192.16026059590337</v>
      </c>
      <c r="D5" s="31">
        <v>202.25688725605926</v>
      </c>
      <c r="E5" s="31">
        <v>215.78415567413683</v>
      </c>
      <c r="F5" s="31">
        <v>234.54280162956795</v>
      </c>
    </row>
    <row r="6" spans="1:6" x14ac:dyDescent="0.25">
      <c r="A6" s="30">
        <v>0.073577</v>
      </c>
      <c r="B6" s="31">
        <v>146.85128920684906</v>
      </c>
      <c r="C6" s="31">
        <v>150.1836620989772</v>
      </c>
      <c r="D6" s="31">
        <v>154.47862642703058</v>
      </c>
      <c r="E6" s="31">
        <v>160.067523759701</v>
      </c>
      <c r="F6" s="31">
        <v>167.45347759205694</v>
      </c>
    </row>
    <row r="7" spans="1:6" x14ac:dyDescent="0.25">
      <c r="A7" s="30">
        <v>0.083577</v>
      </c>
      <c r="B7" s="31">
        <v>120.30580835482061</v>
      </c>
      <c r="C7" s="31">
        <v>121.46619688276674</v>
      </c>
      <c r="D7" s="32">
        <v>123.0415326162877</v>
      </c>
      <c r="E7" s="31">
        <v>125.14798869093848</v>
      </c>
      <c r="F7" s="31">
        <v>127.94956875282614</v>
      </c>
    </row>
    <row r="8" spans="1:6" x14ac:dyDescent="0.25">
      <c r="A8" s="30">
        <v>0.093577</v>
      </c>
      <c r="B8" s="31">
        <v>100.57929016989316</v>
      </c>
      <c r="C8" s="31">
        <v>100.59827716242995</v>
      </c>
      <c r="D8" s="31">
        <v>100.79529830602644</v>
      </c>
      <c r="E8" s="31">
        <v>101.21235797751551</v>
      </c>
      <c r="F8" s="31">
        <v>101.9058021474723</v>
      </c>
    </row>
    <row r="9" spans="1:6" x14ac:dyDescent="0.25">
      <c r="A9" s="30">
        <v>0.103577</v>
      </c>
      <c r="B9" s="31">
        <v>85.35822913507208</v>
      </c>
      <c r="C9" s="31">
        <v>84.75959306821187</v>
      </c>
      <c r="D9" s="31">
        <v>84.22962594078567</v>
      </c>
      <c r="E9" s="31">
        <v>83.78232715602434</v>
      </c>
      <c r="F9" s="31">
        <v>83.43577894470448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16081200000</v>
      </c>
      <c r="C5" s="18">
        <v>15741400000</v>
      </c>
      <c r="D5" s="18">
        <v>15320200000</v>
      </c>
      <c r="E5" s="18">
        <v>14187800000</v>
      </c>
      <c r="F5" s="6" t="s">
        <v>91</v>
      </c>
    </row>
    <row r="6" spans="1:6" x14ac:dyDescent="0.25">
      <c r="A6" t="s">
        <v>51</v>
      </c>
      <c r="B6" s="18">
        <v>2892500000</v>
      </c>
      <c r="C6" s="18">
        <v>2613500000</v>
      </c>
      <c r="D6" s="18">
        <v>2103700000</v>
      </c>
      <c r="E6" s="18">
        <v>1703000000</v>
      </c>
      <c r="F6" s="6" t="s">
        <v>92</v>
      </c>
    </row>
    <row r="7" spans="1:6" x14ac:dyDescent="0.25">
      <c r="A7" t="s">
        <v>93</v>
      </c>
      <c r="B7" s="18">
        <v>976400000</v>
      </c>
      <c r="C7" s="18">
        <v>935400000</v>
      </c>
      <c r="D7" s="18">
        <v>923600000</v>
      </c>
      <c r="E7" s="18">
        <v>938700000</v>
      </c>
      <c r="F7" s="6" t="s">
        <v>94</v>
      </c>
    </row>
    <row r="8" spans="1:6" x14ac:dyDescent="0.25">
      <c r="A8" t="s">
        <v>95</v>
      </c>
      <c r="B8" s="18">
        <v>1048300000</v>
      </c>
      <c r="C8" s="18">
        <v>994500000</v>
      </c>
      <c r="D8" s="18">
        <v>774800000</v>
      </c>
      <c r="E8" s="18">
        <v>712800000</v>
      </c>
      <c r="F8" s="6" t="s">
        <v>96</v>
      </c>
    </row>
    <row r="9" spans="1:6" x14ac:dyDescent="0.25">
      <c r="A9" t="s">
        <v>97</v>
      </c>
      <c r="B9" s="18">
        <v>206200000</v>
      </c>
      <c r="C9" s="18">
        <v>-176100000</v>
      </c>
      <c r="D9" s="18">
        <v>-162700000</v>
      </c>
      <c r="E9" s="18">
        <v>276700000</v>
      </c>
      <c r="F9" s="6" t="s">
        <v>98</v>
      </c>
    </row>
    <row r="10" spans="1:6" x14ac:dyDescent="0.25">
      <c r="A10" t="s">
        <v>99</v>
      </c>
      <c r="B10" s="18">
        <v>8997500000</v>
      </c>
      <c r="C10" s="18">
        <v>8282700000</v>
      </c>
      <c r="D10" s="18">
        <v>8733400000</v>
      </c>
      <c r="E10" s="18">
        <v>9026500000</v>
      </c>
      <c r="F10" s="6" t="s">
        <v>100</v>
      </c>
    </row>
    <row r="11" spans="1:6" x14ac:dyDescent="0.25">
      <c r="A11" t="s">
        <v>101</v>
      </c>
      <c r="B11" s="18">
        <v>646200000</v>
      </c>
      <c r="C11" s="18">
        <v>1256800000</v>
      </c>
      <c r="D11" s="18">
        <v>919500000</v>
      </c>
      <c r="E11" s="18">
        <v>598600000</v>
      </c>
      <c r="F11" s="6" t="s">
        <v>102</v>
      </c>
    </row>
    <row r="12" spans="1:6" x14ac:dyDescent="0.25">
      <c r="A12" t="s">
        <v>34</v>
      </c>
      <c r="B12" s="34">
        <v>285200000</v>
      </c>
      <c r="C12" s="34">
        <v>286600000</v>
      </c>
      <c r="D12" s="34">
        <v>286500000</v>
      </c>
      <c r="E12" s="34">
        <v>286600000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