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<sst xmlns="http://schemas.openxmlformats.org/spreadsheetml/2006/main" count="121" uniqueCount="108">
  <si>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Consolidated Edison, Inc. (ED)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</si>
  <si>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</si>
  <si>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</si>
  <si>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</si>
  <si>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</si>
  <si>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</si>
  <si>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</si>
  <si>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</si>
  <si>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</si>
  <si>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</si>
  <si>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</si>
  <si>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</si>
  <si>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</si>
  <si>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</si>
  <si>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</si>
  <si>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</si>
  <si>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</si>
  <si>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</si>
  <si>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</si>
  <si>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</si>
  <si>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</si>
  <si>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</si>
  <si>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</si>
  <si>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</si>
  <si>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+ 138bp, the spread for a BB+ rating at 2.4x interest cover. Book interest / average debt was lower, at 4.4%.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</si>
  <si>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</si>
  <si>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</si>
  <si>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</si>
  <si>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</si>
  <si>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</si>
  <si>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</si>
  <si>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</si>
  <si>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</si>
  <si>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</si>
  <si>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</si>
  <si>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</si>
  <si>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</si>
  <si>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</si>
  <si>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</si>
  <si>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</si>
  <si>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</si>
  <si>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</si>
  <si>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</si>
  <si>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</si>
  <si>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</si>
  <si>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</si>
  <si>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</si>
  <si>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</si>
  <si>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</si>
  <si>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</si>
  <si>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</si>
  <si>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</si>
  <si>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</si>
  <si>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</si>
  <si>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</si>
  <si>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</si>
  <si>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</si>
  <si>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</si>
  <si>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</si>
  <si>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</si>
  <si>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</si>
  <si>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</si>
  <si>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</si>
  <si>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</si>
  <si>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</si>
  <si>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</si>
  <si>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</si>
  <si>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</si>
  <si>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</si>
  <si>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</si>
  <si>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</si>
  <si>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</si>
  <si>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</si>
  <si>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</si>
  <si>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</si>
  <si>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</si>
  <si>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</si>
  <si>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</si>
  <si>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</si>
  <si>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</si>
  <si>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</si>
  <si>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</si>
  <si>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</si>
  <si>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</si>
  <si>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</si>
  <si>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</si>
  <si>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</si>
  <si>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</si>
  <si>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</si>
  <si>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</si>
  <si>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</si>
  <si>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</si>
  <si>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</si>
  <si>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</si>
  <si>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</si>
  <si>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</si>
  <si>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</si>
  <si>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</si>
  <si>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</si>
  <si>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</si>
  <si>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</si>
  <si>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</si>
  <si>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</si>
  <si>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</si>
  <si>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</si>
  <si>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</si>
  <si>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29.2% of revenue against depreciation of 13.7%.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</si>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</sst>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0.0376720226977183</v>
      </c>
    </row>
    <row r="7" spans="1:2" x14ac:dyDescent="0.25">
      <c r="A7" t="s">
        <v>4</v>
      </c>
      <c r="B7" s="5">
        <v>0.17070707594909335</v>
      </c>
    </row>
    <row r="8" spans="1:2" x14ac:dyDescent="0.25">
      <c r="A8" t="s">
        <v>5</v>
      </c>
      <c r="B8" s="5">
        <v>0.191597710465635</v>
      </c>
    </row>
    <row r="9" spans="1:2" x14ac:dyDescent="0.25">
      <c r="A9" t="s">
        <v>6</v>
      </c>
      <c r="B9" s="5">
        <v>0.13704127093101198</v>
      </c>
    </row>
    <row r="10" spans="1:3" x14ac:dyDescent="0.25">
      <c r="A10" t="s">
        <v>7</v>
      </c>
      <c r="B10" s="5">
        <v>0.2916986649212095</v>
      </c>
      <c r="C10" s="6" t="s">
        <v>8</v>
      </c>
    </row>
    <row r="11" spans="1:2" x14ac:dyDescent="0.25">
      <c r="A11" t="s">
        <v>9</v>
      </c>
      <c r="B11" s="5">
        <v>0.07237890865315927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13.13358598158241</v>
      </c>
    </row>
    <row r="14" spans="1:3" x14ac:dyDescent="0.25">
      <c r="A14" t="s">
        <v>12</v>
      </c>
      <c r="B14" s="5">
        <v>0.062339938495570804</v>
      </c>
      <c r="C14" s="6" t="s">
        <v>13</v>
      </c>
    </row>
    <row r="15" spans="1:3" x14ac:dyDescent="0.25">
      <c r="A15" t="s">
        <v>14</v>
      </c>
      <c r="B15" s="5">
        <v>0.13704127093101198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0.49749999999999994</v>
      </c>
      <c r="C19" s="6" t="s">
        <v>21</v>
      </c>
    </row>
    <row r="20" spans="1:2" x14ac:dyDescent="0.25">
      <c r="A20" t="s">
        <v>22</v>
      </c>
      <c r="B20" s="9">
        <f>B17+B19*B18</f>
        <v>0.06998425</v>
      </c>
    </row>
    <row r="21" spans="1:3" x14ac:dyDescent="0.25">
      <c r="A21" t="s">
        <v>23</v>
      </c>
      <c r="B21" s="5">
        <v>0.06274</v>
      </c>
      <c r="C21" s="6" t="s">
        <v>24</v>
      </c>
    </row>
    <row r="22" spans="1:2" x14ac:dyDescent="0.25">
      <c r="A22" t="s">
        <v>25</v>
      </c>
      <c r="B22" s="10">
        <v>43136811008</v>
      </c>
    </row>
    <row r="23" spans="1:2" x14ac:dyDescent="0.25">
      <c r="A23" t="s">
        <v>26</v>
      </c>
      <c r="B23" s="10">
        <v>28376000000</v>
      </c>
    </row>
    <row r="24" spans="1:2" x14ac:dyDescent="0.25">
      <c r="A24" t="s">
        <v>27</v>
      </c>
      <c r="B24" s="9">
        <f>B22/(B22+B23)</f>
        <v>0.6032039630378166</v>
      </c>
    </row>
    <row r="25" spans="1:2" x14ac:dyDescent="0.25">
      <c r="A25" t="s">
        <v>28</v>
      </c>
      <c r="B25" s="9">
        <f>1-B24</f>
        <v>0.39679603696218335</v>
      </c>
    </row>
    <row r="26" spans="1:2" x14ac:dyDescent="0.25">
      <c r="A26" t="s">
        <v>29</v>
      </c>
      <c r="B26" s="11">
        <f>B24*B20+B25*B21*(1-B8)</f>
        <v>0.062339938495570804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16918000000</v>
      </c>
      <c r="C29" s="6" t="s">
        <v>32</v>
      </c>
    </row>
    <row r="30" spans="1:2" x14ac:dyDescent="0.25">
      <c r="A30" t="s">
        <v>33</v>
      </c>
      <c r="B30" s="10">
        <v>26747000000</v>
      </c>
    </row>
    <row r="31" spans="1:2" x14ac:dyDescent="0.25">
      <c r="A31" t="s">
        <v>34</v>
      </c>
      <c r="B31" s="12">
        <v>358700000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0.0376720226977183</v>
      </c>
      <c r="C5" s="5">
        <v>0.04995816006995679</v>
      </c>
      <c r="D5" s="5">
        <v>0.046838390061212196</v>
      </c>
      <c r="E5" s="5">
        <v>0.04371862005246759</v>
      </c>
      <c r="F5" s="5">
        <v>0.040598850043722996</v>
      </c>
      <c r="G5" s="5">
        <v>0.03747908003497839</v>
      </c>
      <c r="H5" s="5">
        <v>0.0343593100262338</v>
      </c>
      <c r="I5" s="5">
        <v>0.0312395400174892</v>
      </c>
      <c r="J5" s="5">
        <v>0.0281197700087446</v>
      </c>
      <c r="K5" s="5">
        <v>0.025</v>
      </c>
    </row>
    <row r="6" spans="1:11" x14ac:dyDescent="0.25">
      <c r="A6" t="s">
        <v>50</v>
      </c>
      <c r="B6" s="18">
        <f>Assumptions!B29*(1+B5)</f>
        <v>17555335280</v>
      </c>
      <c r="C6" s="18">
        <f>B6*(1+C5)</f>
        <v>18432367530</v>
      </c>
      <c r="D6" s="18">
        <f>C6*(1+D5)</f>
        <v>19295709950.12176</v>
      </c>
      <c r="E6" s="18">
        <f>D6*(1+E5)</f>
        <v>20139291762.073753</v>
      </c>
      <c r="F6" s="18">
        <f>E6*(1+F5)</f>
        <v>20956923848.308975</v>
      </c>
      <c r="G6" s="18">
        <f>F6*(1+G5)</f>
        <v>21742370074.506695</v>
      </c>
      <c r="H6" s="18">
        <f>G6*(1+H5)</f>
        <v>22489422908.60178</v>
      </c>
      <c r="I6" s="18">
        <f>H6*(1+I5)</f>
        <v>23191982135.525284</v>
      </c>
      <c r="J6" s="18">
        <f>I6*(1+J5)</f>
        <v>23844135339.223167</v>
      </c>
      <c r="K6" s="18">
        <f>J6*(1+K5)</f>
        <v>24440238722.703743</v>
      </c>
    </row>
    <row r="7" spans="1:11" x14ac:dyDescent="0.25">
      <c r="A7" t="s">
        <v>4</v>
      </c>
      <c r="B7" s="9">
        <f>Assumptions!B7</f>
        <v>0.17070707594909335</v>
      </c>
      <c r="C7" s="9">
        <f>Assumptions!B7</f>
        <v>0.17070707594909335</v>
      </c>
      <c r="D7" s="9">
        <f>Assumptions!B7</f>
        <v>0.17070707594909335</v>
      </c>
      <c r="E7" s="9">
        <f>Assumptions!B7</f>
        <v>0.17070707594909335</v>
      </c>
      <c r="F7" s="9">
        <f>Assumptions!B7</f>
        <v>0.17070707594909335</v>
      </c>
      <c r="G7" s="9">
        <f>Assumptions!B7</f>
        <v>0.17070707594909335</v>
      </c>
      <c r="H7" s="9">
        <f>Assumptions!B7</f>
        <v>0.17070707594909335</v>
      </c>
      <c r="I7" s="9">
        <f>Assumptions!B7</f>
        <v>0.17070707594909335</v>
      </c>
      <c r="J7" s="9">
        <f>Assumptions!B7</f>
        <v>0.17070707594909335</v>
      </c>
      <c r="K7" s="9">
        <f>Assumptions!B7</f>
        <v>0.17070707594909335</v>
      </c>
    </row>
    <row r="8" spans="1:11" x14ac:dyDescent="0.25">
      <c r="A8" t="s">
        <v>51</v>
      </c>
      <c r="B8" s="18">
        <f>B6*B7</f>
        <v>2996819952.9547577</v>
      </c>
      <c r="C8" s="18">
        <f>C6*C7</f>
        <v>3146535563.865312</v>
      </c>
      <c r="D8" s="18">
        <f>D6*D7</f>
        <v>3293914223.9471116</v>
      </c>
      <c r="E8" s="18">
        <f>E6*E7</f>
        <v>3437919608.389274</v>
      </c>
      <c r="F8" s="18">
        <f>F6*F7</f>
        <v>3577495191.0326457</v>
      </c>
      <c r="G8" s="18">
        <f>G6*G7</f>
        <v>3711576419.6221085</v>
      </c>
      <c r="H8" s="18">
        <f>H6*H7</f>
        <v>3839103624.509964</v>
      </c>
      <c r="I8" s="18">
        <f>I6*I7</f>
        <v>3959035455.819131</v>
      </c>
      <c r="J8" s="18">
        <f>J6*J7</f>
        <v>4070362622.29323</v>
      </c>
      <c r="K8" s="18">
        <f>K6*K7</f>
        <v>4172121687.85056</v>
      </c>
    </row>
    <row r="9" spans="1:11" x14ac:dyDescent="0.25">
      <c r="A9" t="s">
        <v>52</v>
      </c>
      <c r="B9" s="18">
        <f>B8*(1-Assumptions!B8)</f>
        <v>2422636111.290894</v>
      </c>
      <c r="C9" s="18">
        <f>C8*(1-Assumptions!B8)</f>
        <v>2543666553.9300222</v>
      </c>
      <c r="D9" s="18">
        <f>D8*(1-Assumptions!B8)</f>
        <v>2662807800.168656</v>
      </c>
      <c r="E9" s="18">
        <f>E8*(1-Assumptions!B8)</f>
        <v>2779222082.6569767</v>
      </c>
      <c r="F9" s="18">
        <f>F8*(1-Assumptions!B8)</f>
        <v>2892055303.2289715</v>
      </c>
      <c r="G9" s="18">
        <f>G8*(1-Assumptions!B8)</f>
        <v>3000446875.4042735</v>
      </c>
      <c r="H9" s="18">
        <f>H8*(1-Assumptions!B8)</f>
        <v>3103540159.813534</v>
      </c>
      <c r="I9" s="18">
        <f>I8*(1-Assumptions!B8)</f>
        <v>3200493326.831914</v>
      </c>
      <c r="J9" s="18">
        <f>J8*(1-Assumptions!B8)</f>
        <v>3290490463.096949</v>
      </c>
      <c r="K9" s="18">
        <f>K8*(1-Assumptions!B8)</f>
        <v>3372752724.674372</v>
      </c>
    </row>
    <row r="10" spans="1:11" x14ac:dyDescent="0.25">
      <c r="A10" t="s">
        <v>53</v>
      </c>
      <c r="B10" s="18">
        <f>B6*Assumptions!B9</f>
        <v>2405805458.391233</v>
      </c>
      <c r="C10" s="18">
        <f>C6*Assumptions!B9</f>
        <v>2525995072.578718</v>
      </c>
      <c r="D10" s="18">
        <f>D6*Assumptions!B9</f>
        <v>2644308615.08086</v>
      </c>
      <c r="E10" s="18">
        <f>E6*Assumptions!B9</f>
        <v>2759914138.725047</v>
      </c>
      <c r="F10" s="18">
        <f>F6*Assumptions!B9</f>
        <v>2871963478.9766965</v>
      </c>
      <c r="G10" s="18">
        <f>G6*Assumptions!B9</f>
        <v>2979602028.062799</v>
      </c>
      <c r="H10" s="18">
        <f>H6*Assumptions!B9</f>
        <v>3081979097.899804</v>
      </c>
      <c r="I10" s="18">
        <f>I6*Assumptions!B9</f>
        <v>3178258707.26171</v>
      </c>
      <c r="J10" s="18">
        <f>J6*Assumptions!B9</f>
        <v>3267630611.1381993</v>
      </c>
      <c r="K10" s="18">
        <f>K6*Assumptions!B9</f>
        <v>3349321376.416654</v>
      </c>
    </row>
    <row r="11" spans="1:11" x14ac:dyDescent="0.25">
      <c r="A11" t="s">
        <v>54</v>
      </c>
      <c r="B11" s="18">
        <f>-B6*B19</f>
        <v>-5120867863.420207</v>
      </c>
      <c r="C11" s="18">
        <f>-C6*C19</f>
        <v>-5173294455.4440155</v>
      </c>
      <c r="D11" s="18">
        <f>-D6*D19</f>
        <v>-5202673646.941802</v>
      </c>
      <c r="E11" s="18">
        <f>-E6*E19</f>
        <v>-5207888779.326342</v>
      </c>
      <c r="F11" s="18">
        <f>-F6*F19</f>
        <v>-5188061864.094404</v>
      </c>
      <c r="G11" s="18">
        <f>-G6*G19</f>
        <v>-5142576981.667407</v>
      </c>
      <c r="H11" s="18">
        <f>-H6*H19</f>
        <v>-5071099926.759629</v>
      </c>
      <c r="I11" s="18">
        <f>-I6*I19</f>
        <v>-4973593510.861833</v>
      </c>
      <c r="J11" s="18">
        <f>-J6*J19</f>
        <v>-4850328012.483141</v>
      </c>
      <c r="K11" s="18">
        <f>-K6*K19</f>
        <v>-4701886363.67358</v>
      </c>
    </row>
    <row r="12" spans="1:11" x14ac:dyDescent="0.25">
      <c r="A12" t="s">
        <v>55</v>
      </c>
      <c r="B12" s="18">
        <f>-(B6-Assumptions!B29)*Assumptions!B11</f>
        <v>-46129632.01255569</v>
      </c>
      <c r="C12" s="18">
        <f>-(C6-B6)*Assumptions!B11</f>
        <v>-63478637.10862474</v>
      </c>
      <c r="D12" s="18">
        <f>-(D6-C6)*Assumptions!B11</f>
        <v>-62487782.16239042</v>
      </c>
      <c r="E12" s="18">
        <f>-(E6-D6)*Assumptions!B11</f>
        <v>-61057530.90873981</v>
      </c>
      <c r="F12" s="18">
        <f>-(F6-E6)*Assumptions!B11</f>
        <v>-59179318.08151116</v>
      </c>
      <c r="G12" s="18">
        <f>-(G6-F6)*Assumptions!B11</f>
        <v>-56849740.657933414</v>
      </c>
      <c r="H12" s="18">
        <f>-(H6-G6)*Assumptions!B11</f>
        <v>-54070868.838051915</v>
      </c>
      <c r="I12" s="18">
        <f>-(I6-H6)*Assumptions!B11</f>
        <v>-50850470.10893048</v>
      </c>
      <c r="J12" s="18">
        <f>-(J6-I6)*Assumptions!B11</f>
        <v>-47202137.15831429</v>
      </c>
      <c r="K12" s="18">
        <f>-(K6-J6)*Assumptions!B11</f>
        <v>-43145312.34077975</v>
      </c>
    </row>
    <row r="13" spans="1:11" x14ac:dyDescent="0.25">
      <c r="A13" s="19" t="s">
        <v>56</v>
      </c>
      <c r="B13" s="20">
        <f>B9+B10+B11+B12</f>
        <v>-338555925.75063574</v>
      </c>
      <c r="C13" s="20">
        <f>C9+C10+C11+C12</f>
        <v>-167111466.04389983</v>
      </c>
      <c r="D13" s="20">
        <f>D9+D10+D11+D12</f>
        <v>41954986.14532309</v>
      </c>
      <c r="E13" s="20">
        <f>E9+E10+E11+E12</f>
        <v>270189911.1469424</v>
      </c>
      <c r="F13" s="20">
        <f>F9+F10+F11+F12</f>
        <v>516777600.02975214</v>
      </c>
      <c r="G13" s="20">
        <f>G9+G10+G11+G12</f>
        <v>780622181.141732</v>
      </c>
      <c r="H13" s="20">
        <f>H9+H10+H11+H12</f>
        <v>1060348462.1156567</v>
      </c>
      <c r="I13" s="20">
        <f>I9+I10+I11+I12</f>
        <v>1354308053.122861</v>
      </c>
      <c r="J13" s="20">
        <f>J9+J10+J11+J12</f>
        <v>1660590924.5936933</v>
      </c>
      <c r="K13" s="20">
        <f>K9+K10+K11+K12</f>
        <v>1977042425.0766664</v>
      </c>
    </row>
    <row r="14" spans="1:11" x14ac:dyDescent="0.25">
      <c r="A14" t="s">
        <v>57</v>
      </c>
      <c r="B14" s="21">
        <f>1/(1+Assumptions!$B$26)^(1-0.5*Assumptions!$B$32)</f>
        <v>0.970215582505244</v>
      </c>
      <c r="C14" s="21">
        <f>1/(1+Assumptions!$B$26)^(2-0.5*Assumptions!$B$32)</f>
        <v>0.9132816599921976</v>
      </c>
      <c r="D14" s="21">
        <f>1/(1+Assumptions!$B$26)^(3-0.5*Assumptions!$B$32)</f>
        <v>0.8596887181757833</v>
      </c>
      <c r="E14" s="21">
        <f>1/(1+Assumptions!$B$26)^(4-0.5*Assumptions!$B$32)</f>
        <v>0.8092407025506624</v>
      </c>
      <c r="F14" s="21">
        <f>1/(1+Assumptions!$B$26)^(5-0.5*Assumptions!$B$32)</f>
        <v>0.761753063427763</v>
      </c>
      <c r="G14" s="21">
        <f>1/(1+Assumptions!$B$26)^(6-0.5*Assumptions!$B$32)</f>
        <v>0.7170520808118324</v>
      </c>
      <c r="H14" s="21">
        <f>1/(1+Assumptions!$B$26)^(7-0.5*Assumptions!$B$32)</f>
        <v>0.6749742288963393</v>
      </c>
      <c r="I14" s="21">
        <f>1/(1+Assumptions!$B$26)^(8-0.5*Assumptions!$B$32)</f>
        <v>0.6353655778509109</v>
      </c>
      <c r="J14" s="21">
        <f>1/(1+Assumptions!$B$26)^(9-0.5*Assumptions!$B$32)</f>
        <v>0.5980812307129126</v>
      </c>
      <c r="K14" s="21">
        <f>1/(1+Assumptions!$B$26)^(10-0.5*Assumptions!$B$32)</f>
        <v>0.5629847933232025</v>
      </c>
    </row>
    <row r="15" spans="1:11" x14ac:dyDescent="0.25">
      <c r="A15" s="19" t="s">
        <v>58</v>
      </c>
      <c r="B15" s="20">
        <f>B13*B14</f>
        <v>-328472234.7127552</v>
      </c>
      <c r="C15" s="20">
        <f>C13*C14</f>
        <v>-152619837.1123026</v>
      </c>
      <c r="D15" s="20">
        <f>D13*D14</f>
        <v>36068228.260355555</v>
      </c>
      <c r="E15" s="20">
        <f>E13*E14</f>
        <v>218648673.5186527</v>
      </c>
      <c r="F15" s="20">
        <f>F13*F14</f>
        <v>393656919.93351096</v>
      </c>
      <c r="G15" s="20">
        <f>G13*G14</f>
        <v>559746759.3155501</v>
      </c>
      <c r="H15" s="20">
        <f>H13*H14</f>
        <v>715707885.5779346</v>
      </c>
      <c r="I15" s="20">
        <f>I13*I14</f>
        <v>860480718.7605486</v>
      </c>
      <c r="J15" s="20">
        <f>J13*J14</f>
        <v>993168263.8916895</v>
      </c>
      <c r="K15" s="20">
        <f>K13*K14</f>
        <v>1113044821.0729902</v>
      </c>
    </row>
    <row r="17" spans="1:2" x14ac:dyDescent="0.25">
      <c r="A17" s="22" t="s">
        <v>59</v>
      </c>
      <c r="B17" s="23">
        <f>SUM(B15:K15)</f>
        <v>4409430198.506175</v>
      </c>
    </row>
    <row r="19" spans="1:11" x14ac:dyDescent="0.25">
      <c r="A19" t="s">
        <v>7</v>
      </c>
      <c r="B19" s="9">
        <f>Assumptions!$B$10+($B$20-Assumptions!$B$10)*0/9</f>
        <v>0.2916986649212095</v>
      </c>
      <c r="C19" s="9">
        <f>Assumptions!$B$10+($B$20-Assumptions!$B$10)*1/9</f>
        <v>0.2806635906659363</v>
      </c>
      <c r="D19" s="9">
        <f>Assumptions!$B$10+($B$20-Assumptions!$B$10)*2/9</f>
        <v>0.26962851641066315</v>
      </c>
      <c r="E19" s="9">
        <f>Assumptions!$B$10+($B$20-Assumptions!$B$10)*3/9</f>
        <v>0.25859344215539</v>
      </c>
      <c r="F19" s="9">
        <f>Assumptions!$B$10+($B$20-Assumptions!$B$10)*4/9</f>
        <v>0.2475583679001168</v>
      </c>
      <c r="G19" s="9">
        <f>Assumptions!$B$10+($B$20-Assumptions!$B$10)*5/9</f>
        <v>0.23652329364484362</v>
      </c>
      <c r="H19" s="9">
        <f>Assumptions!$B$10+($B$20-Assumptions!$B$10)*6/9</f>
        <v>0.22548821938957045</v>
      </c>
      <c r="I19" s="9">
        <f>Assumptions!$B$10+($B$20-Assumptions!$B$10)*7/9</f>
        <v>0.21445314513429725</v>
      </c>
      <c r="J19" s="9">
        <f>Assumptions!$B$10+($B$20-Assumptions!$B$10)*8/9</f>
        <v>0.20341807087902408</v>
      </c>
      <c r="K19" s="9">
        <f>Assumptions!$B$10+($B$20-Assumptions!$B$10)*9/9</f>
        <v>0.1923829966237509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0.1923829966237509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1977042425.0766664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3372752724.674372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0.4010270238199903</v>
      </c>
    </row>
    <row r="7" spans="1:2" x14ac:dyDescent="0.25">
      <c r="A7" t="s">
        <v>66</v>
      </c>
      <c r="B7" s="18">
        <f>-MAX(B5,0)*B6</f>
        <v>-1352564987.2569265</v>
      </c>
    </row>
    <row r="8" spans="1:2" x14ac:dyDescent="0.25">
      <c r="A8" t="s">
        <v>67</v>
      </c>
      <c r="B8" s="18">
        <f>IF(OR(Assumptions!$B$33=0,Assumptions!B12&lt;=0),B5,MAX(B5+B7,0))</f>
        <v>2020187737.4174457</v>
      </c>
    </row>
    <row r="9" spans="1:2" x14ac:dyDescent="0.25">
      <c r="A9" t="s">
        <v>68</v>
      </c>
      <c r="B9" s="18">
        <f>B8*(1+Assumptions!B12)/(Assumptions!B26-Assumptions!B12)</f>
        <v>55455164477.53398</v>
      </c>
    </row>
    <row r="10" spans="1:2" x14ac:dyDescent="0.25">
      <c r="A10" t="s">
        <v>69</v>
      </c>
      <c r="B10" s="18">
        <f>B9/(1+Assumptions!B26)^(10-0.5*Assumptions!B32)</f>
        <v>31220414312.08867</v>
      </c>
    </row>
    <row r="11" spans="1:2" x14ac:dyDescent="0.25">
      <c r="A11" t="s">
        <v>70</v>
      </c>
      <c r="B11" s="18">
        <f>Forecast!B17+B10</f>
        <v>35629844510.59484</v>
      </c>
    </row>
    <row r="12" spans="1:2" x14ac:dyDescent="0.25">
      <c r="A12" t="s">
        <v>71</v>
      </c>
      <c r="B12" s="18">
        <f>-Assumptions!B30</f>
        <v>-26747000000</v>
      </c>
    </row>
    <row r="13" spans="1:2" x14ac:dyDescent="0.25">
      <c r="A13" t="s">
        <v>72</v>
      </c>
      <c r="B13" s="18">
        <f>B11+B12</f>
        <v>8882844510.594841</v>
      </c>
    </row>
    <row r="14" spans="1:2" x14ac:dyDescent="0.25">
      <c r="A14" s="19" t="s">
        <v>73</v>
      </c>
      <c r="B14" s="24">
        <f>B13/Assumptions!B31</f>
        <v>24.763993617493284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7521443064.267214</v>
      </c>
    </row>
    <row r="18" spans="1:2" x14ac:dyDescent="0.25">
      <c r="A18" t="s">
        <v>68</v>
      </c>
      <c r="B18" s="18">
        <f>B17*Assumptions!B13</f>
        <v>98783519190.13013</v>
      </c>
    </row>
    <row r="19" spans="1:2" x14ac:dyDescent="0.25">
      <c r="A19" t="s">
        <v>69</v>
      </c>
      <c r="B19" s="18">
        <f>B18/(1+Assumptions!B26)^(10-0.5*Assumptions!B32)</f>
        <v>55613619134.99402</v>
      </c>
    </row>
    <row r="20" spans="1:2" x14ac:dyDescent="0.25">
      <c r="A20" t="s">
        <v>70</v>
      </c>
      <c r="B20" s="18">
        <f>Forecast!B17+B19</f>
        <v>60023049333.50019</v>
      </c>
    </row>
    <row r="21" spans="1:2" x14ac:dyDescent="0.25">
      <c r="A21" t="s">
        <v>71</v>
      </c>
      <c r="B21" s="18">
        <f>-Assumptions!B30</f>
        <v>-26747000000</v>
      </c>
    </row>
    <row r="22" spans="1:2" x14ac:dyDescent="0.25">
      <c r="A22" t="s">
        <v>72</v>
      </c>
      <c r="B22" s="18">
        <f>B20+B21</f>
        <v>33276049333.50019</v>
      </c>
    </row>
    <row r="23" spans="1:2" x14ac:dyDescent="0.25">
      <c r="A23" s="19" t="s">
        <v>73</v>
      </c>
      <c r="B23" s="25">
        <f>B22/Assumptions!B31</f>
        <v>92.76846761499914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116.64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24.763993617493284</v>
      </c>
    </row>
    <row r="29" spans="1:2" x14ac:dyDescent="0.25">
      <c r="A29" s="19" t="s">
        <v>81</v>
      </c>
      <c r="B29" s="11">
        <f>B28/B26-1</f>
        <v>-0.7876886692601741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0.04234</v>
      </c>
      <c r="B5" s="31">
        <v>100.26946786861953</v>
      </c>
      <c r="C5" s="31">
        <v>101.36011003833185</v>
      </c>
      <c r="D5" s="31">
        <v>104.7428246215566</v>
      </c>
      <c r="E5" s="31">
        <v>113.20376122953236</v>
      </c>
      <c r="F5" s="31">
        <v>137.12075778749983</v>
      </c>
    </row>
    <row r="6" spans="1:6" x14ac:dyDescent="0.25">
      <c r="A6" s="30">
        <v>0.05234</v>
      </c>
      <c r="B6" s="31">
        <v>54.50976458815441</v>
      </c>
      <c r="C6" s="31">
        <v>52.134960556984936</v>
      </c>
      <c r="D6" s="31">
        <v>49.76015652581546</v>
      </c>
      <c r="E6" s="31">
        <v>47.38535249464602</v>
      </c>
      <c r="F6" s="31">
        <v>45.01054846347657</v>
      </c>
    </row>
    <row r="7" spans="1:6" x14ac:dyDescent="0.25">
      <c r="A7" s="30">
        <v>0.06234</v>
      </c>
      <c r="B7" s="31">
        <v>28.528554641347203</v>
      </c>
      <c r="C7" s="31">
        <v>26.646210088776545</v>
      </c>
      <c r="D7" s="32">
        <v>24.763865536205888</v>
      </c>
      <c r="E7" s="31">
        <v>22.881520983635248</v>
      </c>
      <c r="F7" s="31">
        <v>20.99917643106457</v>
      </c>
    </row>
    <row r="8" spans="1:6" x14ac:dyDescent="0.25">
      <c r="A8" s="30">
        <v>0.07234</v>
      </c>
      <c r="B8" s="31">
        <v>10.015632557361114</v>
      </c>
      <c r="C8" s="31">
        <v>8.482858244557164</v>
      </c>
      <c r="D8" s="31">
        <v>6.9500839317532135</v>
      </c>
      <c r="E8" s="31">
        <v>5.417309618949284</v>
      </c>
      <c r="F8" s="31">
        <v>3.884535306145312</v>
      </c>
    </row>
    <row r="9" spans="1:6" x14ac:dyDescent="0.25">
      <c r="A9" s="30">
        <v>0.08234</v>
      </c>
      <c r="B9" s="31">
        <v>-3.7694472782347495</v>
      </c>
      <c r="C9" s="31">
        <v>-5.0429968892992125</v>
      </c>
      <c r="D9" s="31">
        <v>-6.316546500363686</v>
      </c>
      <c r="E9" s="31">
        <v>-7.59009611142816</v>
      </c>
      <c r="F9" s="31">
        <v>-8.863645722492645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16918000000</v>
      </c>
      <c r="C5" s="18">
        <v>15256000000</v>
      </c>
      <c r="D5" s="18">
        <v>14663000000</v>
      </c>
      <c r="E5" s="18">
        <v>15670000000</v>
      </c>
      <c r="F5" s="6" t="s">
        <v>91</v>
      </c>
    </row>
    <row r="6" spans="1:6" x14ac:dyDescent="0.25">
      <c r="A6" t="s">
        <v>51</v>
      </c>
      <c r="B6" s="18">
        <v>3000000000</v>
      </c>
      <c r="C6" s="18">
        <v>2732000000</v>
      </c>
      <c r="D6" s="18">
        <v>2331000000</v>
      </c>
      <c r="E6" s="18">
        <v>2624000000</v>
      </c>
      <c r="F6" s="6" t="s">
        <v>92</v>
      </c>
    </row>
    <row r="7" spans="1:6" x14ac:dyDescent="0.25">
      <c r="A7" t="s">
        <v>93</v>
      </c>
      <c r="B7" s="18">
        <v>2321000000</v>
      </c>
      <c r="C7" s="18">
        <v>2155000000</v>
      </c>
      <c r="D7" s="18">
        <v>2031000000</v>
      </c>
      <c r="E7" s="18">
        <v>2056000000</v>
      </c>
      <c r="F7" s="6" t="s">
        <v>94</v>
      </c>
    </row>
    <row r="8" spans="1:6" x14ac:dyDescent="0.25">
      <c r="A8" t="s">
        <v>95</v>
      </c>
      <c r="B8" s="18">
        <v>4764000000</v>
      </c>
      <c r="C8" s="18">
        <v>4771000000</v>
      </c>
      <c r="D8" s="18">
        <v>4494000000</v>
      </c>
      <c r="E8" s="18">
        <v>4168000000</v>
      </c>
      <c r="F8" s="6" t="s">
        <v>96</v>
      </c>
    </row>
    <row r="9" spans="1:6" x14ac:dyDescent="0.25">
      <c r="A9" t="s">
        <v>97</v>
      </c>
      <c r="B9" s="18">
        <v>324000000</v>
      </c>
      <c r="C9" s="18">
        <v>921000000</v>
      </c>
      <c r="D9" s="18">
        <v>1655000000</v>
      </c>
      <c r="E9" s="18">
        <v>109000000</v>
      </c>
      <c r="F9" s="6" t="s">
        <v>98</v>
      </c>
    </row>
    <row r="10" spans="1:6" x14ac:dyDescent="0.25">
      <c r="A10" t="s">
        <v>99</v>
      </c>
      <c r="B10" s="18">
        <v>28376000000</v>
      </c>
      <c r="C10" s="18">
        <v>27825000000</v>
      </c>
      <c r="D10" s="18">
        <v>25010000000</v>
      </c>
      <c r="E10" s="18">
        <v>24415000000</v>
      </c>
      <c r="F10" s="6" t="s">
        <v>100</v>
      </c>
    </row>
    <row r="11" spans="1:6" x14ac:dyDescent="0.25">
      <c r="A11" t="s">
        <v>101</v>
      </c>
      <c r="B11" s="18">
        <v>1629000000</v>
      </c>
      <c r="C11" s="18">
        <v>1324000000</v>
      </c>
      <c r="D11" s="18">
        <v>1189000000</v>
      </c>
      <c r="E11" s="18">
        <v>1282000000</v>
      </c>
      <c r="F11" s="6" t="s">
        <v>102</v>
      </c>
    </row>
    <row r="12" spans="1:6" x14ac:dyDescent="0.25">
      <c r="A12" t="s">
        <v>34</v>
      </c>
      <c r="B12" s="34">
        <v>358700000</v>
      </c>
      <c r="C12" s="34">
        <v>347300000</v>
      </c>
      <c r="D12" s="34">
        <v>349300000</v>
      </c>
      <c r="E12" s="34">
        <v>355800000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