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<sst xmlns="http://schemas.openxmlformats.org/spreadsheetml/2006/main" count="113" uniqueCount="101">
  <si>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Consolidated Edison, Inc. (ED)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</si>
  <si>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</si>
  <si>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</si>
  <si>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</si>
  <si>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</si>
  <si>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</si>
  <si>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</si>
  <si>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</si>
  <si>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</si>
  <si>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</si>
  <si>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</si>
  <si>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</si>
  <si>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</si>
  <si>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</si>
  <si>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</si>
  <si>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</si>
  <si>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</si>
  <si>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</si>
  <si>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</si>
  <si>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</si>
  <si>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</si>
  <si>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</si>
  <si>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</si>
  <si>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</si>
  <si>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</si>
  <si>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</si>
  <si>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</si>
  <si>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</si>
  <si>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</si>
  <si>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</si>
  <si>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</si>
  <si>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</si>
  <si>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</si>
  <si>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</si>
  <si>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</si>
  <si>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</si>
  <si>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</si>
  <si>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</si>
  <si>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</si>
  <si>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</si>
  <si>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</si>
  <si>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</si>
  <si>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</si>
  <si>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</si>
  <si>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</si>
  <si>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</si>
  <si>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</si>
  <si>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</si>
  <si>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</si>
  <si>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</si>
  <si>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</si>
  <si>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</si>
  <si>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</si>
  <si>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</si>
  <si>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</si>
  <si>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</si>
  <si>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</si>
  <si>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</si>
  <si>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</si>
  <si>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</si>
  <si>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</si>
  <si>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</si>
  <si>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</si>
  <si>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</si>
  <si>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</si>
  <si>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</si>
  <si>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</si>
  <si>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</si>
  <si>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</si>
  <si>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</si>
  <si>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</si>
  <si>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</si>
  <si>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</si>
  <si>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</si>
  <si>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</si>
  <si>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</si>
  <si>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</si>
  <si>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</si>
  <si>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</si>
  <si>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</si>
  <si>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</si>
  <si>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</si>
  <si>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</si>
  <si>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</si>
  <si>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</si>
  <si>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</si>
  <si>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</si>
  <si>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</si>
  <si>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</si>
  <si>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</si>
  <si>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</si>
  <si>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</si>
  <si>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</si>
  <si>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</si>
  <si>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</si>
  <si>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</si>
  <si>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</si>
  <si>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</si>
  <si>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</si>
  <si>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29.2% of revenue against depreciation of 13.7%.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</si>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</sst>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0.02587238970223038</v>
      </c>
    </row>
    <row r="7" spans="1:2" x14ac:dyDescent="0.25">
      <c r="A7" t="s">
        <v>5</v>
      </c>
      <c r="B7" s="6">
        <v>0.17070707594909335</v>
      </c>
    </row>
    <row r="8" spans="1:2" x14ac:dyDescent="0.25">
      <c r="A8" t="s">
        <v>6</v>
      </c>
      <c r="B8" s="6">
        <v>0.191597710465635</v>
      </c>
    </row>
    <row r="9" spans="1:2" x14ac:dyDescent="0.25">
      <c r="A9" t="s">
        <v>7</v>
      </c>
      <c r="B9" s="6">
        <v>0.13704127093101198</v>
      </c>
    </row>
    <row r="10" spans="1:2" x14ac:dyDescent="0.25">
      <c r="A10" t="s">
        <v>8</v>
      </c>
      <c r="B10" s="6">
        <v>0.2916986649212095</v>
      </c>
    </row>
    <row r="11" spans="1:2" x14ac:dyDescent="0.25">
      <c r="A11" t="s">
        <v>9</v>
      </c>
      <c r="B11" s="6">
        <v>0.19494584837545126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12.354450727306897</v>
      </c>
    </row>
    <row r="14" spans="1:3" x14ac:dyDescent="0.25">
      <c r="A14" t="s">
        <v>12</v>
      </c>
      <c r="B14" s="6">
        <v>0.06197538370356595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0.50353</v>
      </c>
      <c r="C19" s="8" t="s">
        <v>19</v>
      </c>
    </row>
    <row r="20" spans="1:2" x14ac:dyDescent="0.25">
      <c r="A20" t="s">
        <v>20</v>
      </c>
      <c r="B20" s="10">
        <f>B17+B19*B18</f>
        <v>0.07767415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38991032320</v>
      </c>
    </row>
    <row r="23" spans="1:2" x14ac:dyDescent="0.25">
      <c r="A23" t="s">
        <v>24</v>
      </c>
      <c r="B23" s="11">
        <v>28376000000</v>
      </c>
    </row>
    <row r="24" spans="1:2" x14ac:dyDescent="0.25">
      <c r="A24" t="s">
        <v>25</v>
      </c>
      <c r="B24" s="10">
        <f>B22/(B22+B23)</f>
        <v>0.5787850670753727</v>
      </c>
    </row>
    <row r="25" spans="1:2" x14ac:dyDescent="0.25">
      <c r="A25" t="s">
        <v>26</v>
      </c>
      <c r="B25" s="10">
        <f>1-B24</f>
        <v>0.4212149329246273</v>
      </c>
    </row>
    <row r="26" spans="1:2" x14ac:dyDescent="0.25">
      <c r="A26" t="s">
        <v>27</v>
      </c>
      <c r="B26" s="12">
        <f>B24*B20+B25*B21*(1-B8)</f>
        <v>0.06197538370356595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16918000000</v>
      </c>
      <c r="C29" s="8" t="s">
        <v>30</v>
      </c>
    </row>
    <row r="30" spans="1:2" x14ac:dyDescent="0.25">
      <c r="A30" t="s">
        <v>31</v>
      </c>
      <c r="B30" s="11">
        <v>26747000000</v>
      </c>
    </row>
    <row r="31" spans="1:2" x14ac:dyDescent="0.25">
      <c r="A31" t="s">
        <v>32</v>
      </c>
      <c r="B31" s="13">
        <v>358700000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0.02587238970223038</v>
      </c>
      <c r="C5" s="10">
        <f>Assumptions!B6</f>
        <v>0.02587238970223038</v>
      </c>
      <c r="D5" s="10">
        <f>Assumptions!B6</f>
        <v>0.02587238970223038</v>
      </c>
      <c r="E5" s="10">
        <f>Assumptions!B6</f>
        <v>0.02587238970223038</v>
      </c>
      <c r="F5" s="10">
        <f>Assumptions!B6</f>
        <v>0.02587238970223038</v>
      </c>
    </row>
    <row r="6" spans="1:6" x14ac:dyDescent="0.25">
      <c r="A6" t="s">
        <v>43</v>
      </c>
      <c r="B6" s="18">
        <f>Assumptions!B29*(1+B5)</f>
        <v>17355709088.982334</v>
      </c>
      <c r="C6" s="18">
        <f>B6*(1+C5)</f>
        <v>17804742758.091026</v>
      </c>
      <c r="D6" s="18">
        <f>C6*(1+D5)</f>
        <v>18265394001.27632</v>
      </c>
      <c r="E6" s="18">
        <f>D6*(1+E5)</f>
        <v>18737963392.942123</v>
      </c>
      <c r="F6" s="18">
        <f>E6*(1+F5)</f>
        <v>19222759284.07045</v>
      </c>
    </row>
    <row r="7" spans="1:6" x14ac:dyDescent="0.25">
      <c r="A7" t="s">
        <v>5</v>
      </c>
      <c r="B7" s="10">
        <f>Assumptions!B7</f>
        <v>0.17070707594909335</v>
      </c>
      <c r="C7" s="10">
        <f>Assumptions!B7</f>
        <v>0.17070707594909335</v>
      </c>
      <c r="D7" s="10">
        <f>Assumptions!B7</f>
        <v>0.17070707594909335</v>
      </c>
      <c r="E7" s="10">
        <f>Assumptions!B7</f>
        <v>0.17070707594909335</v>
      </c>
      <c r="F7" s="10">
        <f>Assumptions!B7</f>
        <v>0.17070707594909335</v>
      </c>
    </row>
    <row r="8" spans="1:6" x14ac:dyDescent="0.25">
      <c r="A8" t="s">
        <v>44</v>
      </c>
      <c r="B8" s="18">
        <f>B6*B7</f>
        <v>2962742349.603277</v>
      </c>
      <c r="C8" s="18">
        <f>C6*C7</f>
        <v>3039395574.2595143</v>
      </c>
      <c r="D8" s="18">
        <f>D6*D7</f>
        <v>3118032001.015991</v>
      </c>
      <c r="E8" s="18">
        <f>E6*E7</f>
        <v>3198702940.050302</v>
      </c>
      <c r="F8" s="18">
        <f>F6*F7</f>
        <v>3281461029.0569534</v>
      </c>
    </row>
    <row r="9" spans="1:6" x14ac:dyDescent="0.25">
      <c r="A9" t="s">
        <v>45</v>
      </c>
      <c r="B9" s="18">
        <f>B8*(1-Assumptions!B8)</f>
        <v>2395087698.719713</v>
      </c>
      <c r="C9" s="18">
        <f>C8*(1-Assumptions!B8)</f>
        <v>2457054341.0320077</v>
      </c>
      <c r="D9" s="18">
        <f>D8*(1-Assumptions!B8)</f>
        <v>2520624208.4627447</v>
      </c>
      <c r="E9" s="18">
        <f>E8*(1-Assumptions!B8)</f>
        <v>2585838780.276969</v>
      </c>
      <c r="F9" s="18">
        <f>F8*(1-Assumptions!B8)</f>
        <v>2652740608.9074345</v>
      </c>
    </row>
    <row r="10" spans="1:6" x14ac:dyDescent="0.25">
      <c r="A10" t="s">
        <v>46</v>
      </c>
      <c r="B10" s="18">
        <f>B6*Assumptions!B9</f>
        <v>2378448431.463055</v>
      </c>
      <c r="C10" s="18">
        <f>C6*Assumptions!B9</f>
        <v>2439984576.1685257</v>
      </c>
      <c r="D10" s="18">
        <f>D6*Assumptions!B9</f>
        <v>2503112807.9905896</v>
      </c>
      <c r="E10" s="18">
        <f>E6*Assumptions!B9</f>
        <v>2567874318.027566</v>
      </c>
      <c r="F10" s="18">
        <f>F6*Assumptions!B9</f>
        <v>2634311363.0899243</v>
      </c>
    </row>
    <row r="11" spans="1:6" x14ac:dyDescent="0.25">
      <c r="A11" t="s">
        <v>47</v>
      </c>
      <c r="B11" s="18">
        <f>-B6*Assumptions!B10</f>
        <v>-5062637170.017048</v>
      </c>
      <c r="C11" s="18">
        <f>-C6*Assumptions!B10</f>
        <v>-5193619691.800726</v>
      </c>
      <c r="D11" s="18">
        <f>-D6*Assumptions!B10</f>
        <v>-5327991044.432172</v>
      </c>
      <c r="E11" s="18">
        <f>-E6*Assumptions!B10</f>
        <v>-5465838905.063714</v>
      </c>
      <c r="F11" s="18">
        <f>-F6*Assumptions!B10</f>
        <v>-5607253219.265135</v>
      </c>
    </row>
    <row r="12" spans="1:6" x14ac:dyDescent="0.25">
      <c r="A12" t="s">
        <v>48</v>
      </c>
      <c r="B12" s="18">
        <f>-(B6-Assumptions!B29)*Assumptions!B11</f>
        <v>-85329569.69330701</v>
      </c>
      <c r="C12" s="18">
        <f>-(C6-B6)*Assumptions!B11</f>
        <v>-87537249.57353565</v>
      </c>
      <c r="D12" s="18">
        <f>-(D6-C6)*Assumptions!B11</f>
        <v>-89802047.40796366</v>
      </c>
      <c r="E12" s="18">
        <f>-(E6-D6)*Assumptions!B11</f>
        <v>-92125440.97456068</v>
      </c>
      <c r="F12" s="18">
        <f>-(F6-E6)*Assumptions!B11</f>
        <v>-94508946.2849445</v>
      </c>
    </row>
    <row r="13" spans="1:6" x14ac:dyDescent="0.25">
      <c r="A13" s="19" t="s">
        <v>49</v>
      </c>
      <c r="B13" s="20">
        <f>B9+B10+B11+B12</f>
        <v>-374430609.52758706</v>
      </c>
      <c r="C13" s="20">
        <f>C9+C10+C11+C12</f>
        <v>-384118024.1737287</v>
      </c>
      <c r="D13" s="20">
        <f>D9+D10+D11+D12</f>
        <v>-394056075.38680065</v>
      </c>
      <c r="E13" s="20">
        <f>E9+E10+E11+E12</f>
        <v>-404251247.7337398</v>
      </c>
      <c r="F13" s="20">
        <f>F9+F10+F11+F12</f>
        <v>-414710193.552721</v>
      </c>
    </row>
    <row r="14" spans="1:6" x14ac:dyDescent="0.25">
      <c r="A14" t="s">
        <v>50</v>
      </c>
      <c r="B14" s="21">
        <f>1/(1+Assumptions!$B$26)^(1-0.5*Assumptions!$B$32)</f>
        <v>0.9703820959650997</v>
      </c>
      <c r="C14" s="21">
        <f>1/(1+Assumptions!$B$26)^(2-0.5*Assumptions!$B$32)</f>
        <v>0.9137519671886923</v>
      </c>
      <c r="D14" s="21">
        <f>1/(1+Assumptions!$B$26)^(3-0.5*Assumptions!$B$32)</f>
        <v>0.8604266927563287</v>
      </c>
      <c r="E14" s="21">
        <f>1/(1+Assumptions!$B$26)^(4-0.5*Assumptions!$B$32)</f>
        <v>0.8102134060355052</v>
      </c>
      <c r="F14" s="21">
        <f>1/(1+Assumptions!$B$26)^(5-0.5*Assumptions!$B$32)</f>
        <v>0.762930495818031</v>
      </c>
    </row>
    <row r="15" spans="1:6" x14ac:dyDescent="0.25">
      <c r="A15" s="19" t="s">
        <v>51</v>
      </c>
      <c r="B15" s="20">
        <f>B13*B14</f>
        <v>-363340759.66686976</v>
      </c>
      <c r="C15" s="20">
        <f>C13*C14</f>
        <v>-350988600.22137827</v>
      </c>
      <c r="D15" s="20">
        <f>D13*D14</f>
        <v>-339056365.7056034</v>
      </c>
      <c r="E15" s="20">
        <f>E13*E14</f>
        <v>-327529780.3204561</v>
      </c>
      <c r="F15" s="20">
        <f>F13*F14</f>
        <v>-316395053.58796906</v>
      </c>
    </row>
    <row r="17" spans="1:2" x14ac:dyDescent="0.25">
      <c r="A17" s="22" t="s">
        <v>52</v>
      </c>
      <c r="B17" s="23">
        <f>SUM(B15:F15)</f>
        <v>-1697310559.5022764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-414710193.552721</v>
      </c>
    </row>
    <row r="5" spans="1:2" x14ac:dyDescent="0.25">
      <c r="A5" t="s">
        <v>56</v>
      </c>
      <c r="B5" s="18">
        <f>IF(Assumptions!$B$33=0,B4,B4-Forecast!F11-Forecast!F10-Forecast!F12)</f>
        <v>2652740608.9074345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0.4033859656210817</v>
      </c>
    </row>
    <row r="7" spans="1:2" x14ac:dyDescent="0.25">
      <c r="A7" t="s">
        <v>58</v>
      </c>
      <c r="B7" s="18">
        <f>-MAX(Forecast!F9,0)*B6</f>
        <v>-1070078332.0663817</v>
      </c>
    </row>
    <row r="8" spans="1:2" x14ac:dyDescent="0.25">
      <c r="A8" t="s">
        <v>59</v>
      </c>
      <c r="B8" s="18">
        <f>IF(OR(Assumptions!$B$33=0,Assumptions!B12&lt;=0),B5,MAX(B5+B7,0))</f>
        <v>1582662276.8410528</v>
      </c>
    </row>
    <row r="9" spans="1:2" x14ac:dyDescent="0.25">
      <c r="A9" t="s">
        <v>60</v>
      </c>
      <c r="B9" s="18">
        <f>B8*(1+Assumptions!B12)/(Assumptions!B26-Assumptions!B12)</f>
        <v>43873211614.72164</v>
      </c>
    </row>
    <row r="10" spans="1:2" x14ac:dyDescent="0.25">
      <c r="A10" t="s">
        <v>61</v>
      </c>
      <c r="B10" s="18">
        <f>B9/(1+Assumptions!B26)^(5-0.5*Assumptions!B32)</f>
        <v>33472211090.348976</v>
      </c>
    </row>
    <row r="11" spans="1:2" x14ac:dyDescent="0.25">
      <c r="A11" t="s">
        <v>62</v>
      </c>
      <c r="B11" s="18">
        <f>Forecast!B17+B10</f>
        <v>31774900530.8467</v>
      </c>
    </row>
    <row r="12" spans="1:2" x14ac:dyDescent="0.25">
      <c r="A12" t="s">
        <v>63</v>
      </c>
      <c r="B12" s="18">
        <f>-Assumptions!B30</f>
        <v>-26747000000</v>
      </c>
    </row>
    <row r="13" spans="1:2" x14ac:dyDescent="0.25">
      <c r="A13" t="s">
        <v>64</v>
      </c>
      <c r="B13" s="18">
        <f>B11+B12</f>
        <v>5027900530.846699</v>
      </c>
    </row>
    <row r="14" spans="1:2" x14ac:dyDescent="0.25">
      <c r="A14" s="19" t="s">
        <v>65</v>
      </c>
      <c r="B14" s="24">
        <f>B13/Assumptions!B31</f>
        <v>14.017007334392805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5915772392.146877</v>
      </c>
    </row>
    <row r="18" spans="1:2" x14ac:dyDescent="0.25">
      <c r="A18" t="s">
        <v>60</v>
      </c>
      <c r="B18" s="18">
        <f>B17*Assumptions!B13</f>
        <v>73086118532.74106</v>
      </c>
    </row>
    <row r="19" spans="1:2" x14ac:dyDescent="0.25">
      <c r="A19" t="s">
        <v>61</v>
      </c>
      <c r="B19" s="18">
        <f>B18/(1+Assumptions!B26)^(5-0.5*Assumptions!B32)</f>
        <v>55759628649.59952</v>
      </c>
    </row>
    <row r="20" spans="1:2" x14ac:dyDescent="0.25">
      <c r="A20" t="s">
        <v>62</v>
      </c>
      <c r="B20" s="18">
        <f>Forecast!B17+B19</f>
        <v>54062318090.097244</v>
      </c>
    </row>
    <row r="21" spans="1:2" x14ac:dyDescent="0.25">
      <c r="A21" t="s">
        <v>63</v>
      </c>
      <c r="B21" s="18">
        <f>-Assumptions!B30</f>
        <v>-26747000000</v>
      </c>
    </row>
    <row r="22" spans="1:2" x14ac:dyDescent="0.25">
      <c r="A22" t="s">
        <v>64</v>
      </c>
      <c r="B22" s="18">
        <f>B20+B21</f>
        <v>27315318090.097244</v>
      </c>
    </row>
    <row r="23" spans="1:2" x14ac:dyDescent="0.25">
      <c r="A23" s="19" t="s">
        <v>65</v>
      </c>
      <c r="B23" s="25">
        <f>B22/Assumptions!B31</f>
        <v>76.15087284666085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105.43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14.017007334392805</v>
      </c>
    </row>
    <row r="29" spans="1:2" x14ac:dyDescent="0.25">
      <c r="A29" s="19" t="s">
        <v>73</v>
      </c>
      <c r="B29" s="12">
        <f>B28/B26-1</f>
        <v>-0.8670491574087754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0.041975</v>
      </c>
      <c r="B5" s="31">
        <v>75.827947368941</v>
      </c>
      <c r="C5" s="31">
        <v>80.89979648154402</v>
      </c>
      <c r="D5" s="31">
        <v>88.56330985456154</v>
      </c>
      <c r="E5" s="31">
        <v>102.0648310292227</v>
      </c>
      <c r="F5" s="31">
        <v>133.95921549293317</v>
      </c>
    </row>
    <row r="6" spans="1:6" x14ac:dyDescent="0.25">
      <c r="A6" s="30">
        <v>0.051975</v>
      </c>
      <c r="B6" s="31">
        <v>35.5680407409672</v>
      </c>
      <c r="C6" s="31">
        <v>36.13442937534844</v>
      </c>
      <c r="D6" s="31">
        <v>36.70081800972974</v>
      </c>
      <c r="E6" s="31">
        <v>37.26720664411102</v>
      </c>
      <c r="F6" s="31">
        <v>37.833595278492254</v>
      </c>
    </row>
    <row r="7" spans="1:6" x14ac:dyDescent="0.25">
      <c r="A7" s="30">
        <v>0.061975</v>
      </c>
      <c r="B7" s="31">
        <v>13.107332000314825</v>
      </c>
      <c r="C7" s="31">
        <v>13.56253232055665</v>
      </c>
      <c r="D7" s="32">
        <v>14.017732640798434</v>
      </c>
      <c r="E7" s="31">
        <v>14.472932961040227</v>
      </c>
      <c r="F7" s="31">
        <v>14.928133281282042</v>
      </c>
    </row>
    <row r="8" spans="1:6" x14ac:dyDescent="0.25">
      <c r="A8" s="30">
        <v>0.071975</v>
      </c>
      <c r="B8" s="31">
        <v>-2.911074374995012</v>
      </c>
      <c r="C8" s="31">
        <v>-2.5353055187503015</v>
      </c>
      <c r="D8" s="31">
        <v>-2.1595366625056336</v>
      </c>
      <c r="E8" s="31">
        <v>-1.783767806260944</v>
      </c>
      <c r="F8" s="31">
        <v>-1.4079989500162546</v>
      </c>
    </row>
    <row r="9" spans="1:6" x14ac:dyDescent="0.25">
      <c r="A9" s="30">
        <v>0.081975</v>
      </c>
      <c r="B9" s="31">
        <v>-14.85526913613612</v>
      </c>
      <c r="C9" s="31">
        <v>-14.538841453633284</v>
      </c>
      <c r="D9" s="31">
        <v>-14.222413771130466</v>
      </c>
      <c r="E9" s="31">
        <v>-13.90598608862765</v>
      </c>
      <c r="F9" s="31">
        <v>-13.589558406124834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16918000000</v>
      </c>
      <c r="C5" s="18">
        <v>15256000000</v>
      </c>
      <c r="D5" s="18">
        <v>14663000000</v>
      </c>
      <c r="E5" s="18">
        <v>15670000000</v>
      </c>
      <c r="F5" s="8" t="s">
        <v>84</v>
      </c>
    </row>
    <row r="6" spans="1:6" x14ac:dyDescent="0.25">
      <c r="A6" t="s">
        <v>44</v>
      </c>
      <c r="B6" s="18">
        <v>3000000000</v>
      </c>
      <c r="C6" s="18">
        <v>2732000000</v>
      </c>
      <c r="D6" s="18">
        <v>2331000000</v>
      </c>
      <c r="E6" s="18">
        <v>2624000000</v>
      </c>
      <c r="F6" s="8" t="s">
        <v>85</v>
      </c>
    </row>
    <row r="7" spans="1:6" x14ac:dyDescent="0.25">
      <c r="A7" t="s">
        <v>86</v>
      </c>
      <c r="B7" s="18">
        <v>2321000000</v>
      </c>
      <c r="C7" s="18">
        <v>2155000000</v>
      </c>
      <c r="D7" s="18">
        <v>2031000000</v>
      </c>
      <c r="E7" s="18">
        <v>2056000000</v>
      </c>
      <c r="F7" s="8" t="s">
        <v>87</v>
      </c>
    </row>
    <row r="8" spans="1:6" x14ac:dyDescent="0.25">
      <c r="A8" t="s">
        <v>88</v>
      </c>
      <c r="B8" s="18">
        <v>4764000000</v>
      </c>
      <c r="C8" s="18">
        <v>4771000000</v>
      </c>
      <c r="D8" s="18">
        <v>4494000000</v>
      </c>
      <c r="E8" s="18">
        <v>4168000000</v>
      </c>
      <c r="F8" s="8" t="s">
        <v>89</v>
      </c>
    </row>
    <row r="9" spans="1:6" x14ac:dyDescent="0.25">
      <c r="A9" t="s">
        <v>90</v>
      </c>
      <c r="B9" s="18">
        <v>324000000</v>
      </c>
      <c r="C9" s="18">
        <v>921000000</v>
      </c>
      <c r="D9" s="18">
        <v>1655000000</v>
      </c>
      <c r="E9" s="18">
        <v>109000000</v>
      </c>
      <c r="F9" s="8" t="s">
        <v>91</v>
      </c>
    </row>
    <row r="10" spans="1:6" x14ac:dyDescent="0.25">
      <c r="A10" t="s">
        <v>92</v>
      </c>
      <c r="B10" s="18">
        <v>28376000000</v>
      </c>
      <c r="C10" s="18">
        <v>27825000000</v>
      </c>
      <c r="D10" s="18">
        <v>25010000000</v>
      </c>
      <c r="E10" s="18">
        <v>24415000000</v>
      </c>
      <c r="F10" s="8" t="s">
        <v>93</v>
      </c>
    </row>
    <row r="11" spans="1:6" x14ac:dyDescent="0.25">
      <c r="A11" t="s">
        <v>94</v>
      </c>
      <c r="B11" s="18">
        <v>1629000000</v>
      </c>
      <c r="C11" s="18">
        <v>1324000000</v>
      </c>
      <c r="D11" s="18">
        <v>1189000000</v>
      </c>
      <c r="E11" s="18">
        <v>1282000000</v>
      </c>
      <c r="F11" s="8" t="s">
        <v>95</v>
      </c>
    </row>
    <row r="12" spans="1:6" x14ac:dyDescent="0.25">
      <c r="A12" t="s">
        <v>32</v>
      </c>
      <c r="B12" s="34">
        <v>358700000</v>
      </c>
      <c r="C12" s="34">
        <v>347300000</v>
      </c>
      <c r="D12" s="34">
        <v>349300000</v>
      </c>
      <c r="E12" s="34">
        <v>355800000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