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<sst xmlns="http://schemas.openxmlformats.org/spreadsheetml/2006/main" count="113" uniqueCount="101">
  <si>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Edenred SE (EDEN.PA)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</si>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</sst>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0.13390367102013223</v>
      </c>
    </row>
    <row r="7" spans="1:2" x14ac:dyDescent="0.25">
      <c r="A7" t="s">
        <v>5</v>
      </c>
      <c r="B7" s="6">
        <v>0.30761068027156635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0.10044103775364716</v>
      </c>
    </row>
    <row r="10" spans="1:2" x14ac:dyDescent="0.25">
      <c r="A10" t="s">
        <v>8</v>
      </c>
      <c r="B10" s="6">
        <v>0.07319351879250327</v>
      </c>
    </row>
    <row r="11" spans="1:2" x14ac:dyDescent="0.25">
      <c r="A11" t="s">
        <v>9</v>
      </c>
      <c r="B11" s="6">
        <v>-0.7556935817805382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6.055048365677626</v>
      </c>
    </row>
    <row r="14" spans="1:3" x14ac:dyDescent="0.25">
      <c r="A14" t="s">
        <v>12</v>
      </c>
      <c r="B14" s="6">
        <v>0.19747383037183383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0.78225</v>
      </c>
      <c r="C19" s="8" t="s">
        <v>19</v>
      </c>
    </row>
    <row r="20" spans="1:2" x14ac:dyDescent="0.25">
      <c r="A20" t="s">
        <v>20</v>
      </c>
      <c r="B20" s="10">
        <f>B17+B19*B18</f>
        <v>0.078935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6501645312</v>
      </c>
    </row>
    <row r="23" spans="1:2" x14ac:dyDescent="0.25">
      <c r="A23" t="s">
        <v>24</v>
      </c>
      <c r="B23" s="11">
        <v>4626000000</v>
      </c>
    </row>
    <row r="24" spans="1:2" x14ac:dyDescent="0.25">
      <c r="A24" t="s">
        <v>25</v>
      </c>
      <c r="B24" s="10">
        <f>B22/(B22+B23)</f>
        <v>0.584278625864239</v>
      </c>
    </row>
    <row r="25" spans="1:2" x14ac:dyDescent="0.25">
      <c r="A25" t="s">
        <v>26</v>
      </c>
      <c r="B25" s="10">
        <f>1-B24</f>
        <v>0.41572137413576105</v>
      </c>
    </row>
    <row r="26" spans="1:2" x14ac:dyDescent="0.25">
      <c r="A26" t="s">
        <v>27</v>
      </c>
      <c r="B26" s="12">
        <f>B24*B20+B25*B21*(1-B8)</f>
        <v>0.06216022683224791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2961000000</v>
      </c>
      <c r="C29" s="8" t="s">
        <v>30</v>
      </c>
    </row>
    <row r="30" spans="1:2" x14ac:dyDescent="0.25">
      <c r="A30" t="s">
        <v>31</v>
      </c>
      <c r="B30" s="11">
        <v>1049000000</v>
      </c>
    </row>
    <row r="31" spans="1:2" x14ac:dyDescent="0.25">
      <c r="A31" t="s">
        <v>32</v>
      </c>
      <c r="B31" s="13">
        <v>235468077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0.13390367102013223</v>
      </c>
      <c r="C5" s="10">
        <f>Assumptions!B6</f>
        <v>0.13390367102013223</v>
      </c>
      <c r="D5" s="10">
        <f>Assumptions!B6</f>
        <v>0.13390367102013223</v>
      </c>
      <c r="E5" s="10">
        <f>Assumptions!B6</f>
        <v>0.13390367102013223</v>
      </c>
      <c r="F5" s="10">
        <f>Assumptions!B6</f>
        <v>0.13390367102013223</v>
      </c>
    </row>
    <row r="6" spans="1:6" x14ac:dyDescent="0.25">
      <c r="A6" t="s">
        <v>43</v>
      </c>
      <c r="B6" s="18">
        <f>Assumptions!B29*(1+B5)</f>
        <v>3357488769.8906116</v>
      </c>
      <c r="C6" s="18">
        <f>B6*(1+C5)</f>
        <v>3807068841.5878325</v>
      </c>
      <c r="D6" s="18">
        <f>C6*(1+D5)</f>
        <v>4316849335.302806</v>
      </c>
      <c r="E6" s="18">
        <f>D6*(1+E5)</f>
        <v>4894891308.540669</v>
      </c>
      <c r="F6" s="18">
        <f>E6*(1+F5)</f>
        <v>5550335223.998804</v>
      </c>
    </row>
    <row r="7" spans="1:6" x14ac:dyDescent="0.25">
      <c r="A7" t="s">
        <v>5</v>
      </c>
      <c r="B7" s="10">
        <f>Assumptions!B7</f>
        <v>0.30761068027156635</v>
      </c>
      <c r="C7" s="10">
        <f>Assumptions!B7</f>
        <v>0.30761068027156635</v>
      </c>
      <c r="D7" s="10">
        <f>Assumptions!B7</f>
        <v>0.30761068027156635</v>
      </c>
      <c r="E7" s="10">
        <f>Assumptions!B7</f>
        <v>0.30761068027156635</v>
      </c>
      <c r="F7" s="10">
        <f>Assumptions!B7</f>
        <v>0.30761068027156635</v>
      </c>
    </row>
    <row r="8" spans="1:6" x14ac:dyDescent="0.25">
      <c r="A8" t="s">
        <v>44</v>
      </c>
      <c r="B8" s="18">
        <f>B6*B7</f>
        <v>1032799404.5101955</v>
      </c>
      <c r="C8" s="18">
        <f>C6*C7</f>
        <v>1171095036.201517</v>
      </c>
      <c r="D8" s="18">
        <f>D6*D7</f>
        <v>1327908960.6623552</v>
      </c>
      <c r="E8" s="18">
        <f>E6*E7</f>
        <v>1505720845.275573</v>
      </c>
      <c r="F8" s="18">
        <f>F6*F7</f>
        <v>1707342393.9895086</v>
      </c>
    </row>
    <row r="9" spans="1:6" x14ac:dyDescent="0.25">
      <c r="A9" t="s">
        <v>45</v>
      </c>
      <c r="B9" s="18">
        <f>B8*(1-Assumptions!B8)</f>
        <v>766337158.1465651</v>
      </c>
      <c r="C9" s="18">
        <f>C8*(1-Assumptions!B8)</f>
        <v>868952516.8615257</v>
      </c>
      <c r="D9" s="18">
        <f>D8*(1-Assumptions!B8)</f>
        <v>985308448.8114675</v>
      </c>
      <c r="E9" s="18">
        <f>E8*(1-Assumptions!B8)</f>
        <v>1117244867.1944752</v>
      </c>
      <c r="F9" s="18">
        <f>F8*(1-Assumptions!B8)</f>
        <v>1266848056.3402154</v>
      </c>
    </row>
    <row r="10" spans="1:6" x14ac:dyDescent="0.25">
      <c r="A10" t="s">
        <v>46</v>
      </c>
      <c r="B10" s="18">
        <f>B6*Assumptions!B9</f>
        <v>337229656.2940293</v>
      </c>
      <c r="C10" s="18">
        <f>C6*Assumptions!B9</f>
        <v>382385945.2486572</v>
      </c>
      <c r="D10" s="18">
        <f>D6*Assumptions!B9</f>
        <v>433588827.0639558</v>
      </c>
      <c r="E10" s="18">
        <f>E6*Assumptions!B9</f>
        <v>491647962.7211327</v>
      </c>
      <c r="F10" s="18">
        <f>F6*Assumptions!B9</f>
        <v>557481429.7790616</v>
      </c>
    </row>
    <row r="11" spans="1:6" x14ac:dyDescent="0.25">
      <c r="A11" t="s">
        <v>47</v>
      </c>
      <c r="B11" s="18">
        <f>-B6*Assumptions!B10</f>
        <v>-245746417.37460718</v>
      </c>
      <c r="C11" s="18">
        <f>-C6*Assumptions!B10</f>
        <v>-278652764.80111265</v>
      </c>
      <c r="D11" s="18">
        <f>-D6*Assumptions!B10</f>
        <v>-315965392.9478912</v>
      </c>
      <c r="E11" s="18">
        <f>-E6*Assumptions!B10</f>
        <v>-358274318.97893244</v>
      </c>
      <c r="F11" s="18">
        <f>-F6*Assumptions!B10</f>
        <v>-406248565.5224493</v>
      </c>
    </row>
    <row r="12" spans="1:6" x14ac:dyDescent="0.25">
      <c r="A12" t="s">
        <v>48</v>
      </c>
      <c r="B12" s="18">
        <f>-(B6-Assumptions!B29)*Assumptions!B11</f>
        <v>299624018.65439594</v>
      </c>
      <c r="C12" s="18">
        <f>-(C6-B6)*Assumptions!B11</f>
        <v>339744774.678024</v>
      </c>
      <c r="D12" s="18">
        <f>-(D6-C6)*Assumptions!B11</f>
        <v>385237847.2173194</v>
      </c>
      <c r="E12" s="18">
        <f>-(E6-D6)*Assumptions!B11</f>
        <v>436822609.17561114</v>
      </c>
      <c r="F12" s="18">
        <f>-(F6-E6)*Assumptions!B11</f>
        <v>495314760.1288181</v>
      </c>
    </row>
    <row r="13" spans="1:6" x14ac:dyDescent="0.25">
      <c r="A13" s="19" t="s">
        <v>49</v>
      </c>
      <c r="B13" s="20">
        <f>B9+B10+B11+B12</f>
        <v>1157444415.7203832</v>
      </c>
      <c r="C13" s="20">
        <f>C9+C10+C11+C12</f>
        <v>1312430471.9870942</v>
      </c>
      <c r="D13" s="20">
        <f>D9+D10+D11+D12</f>
        <v>1488169730.1448517</v>
      </c>
      <c r="E13" s="20">
        <f>E9+E10+E11+E12</f>
        <v>1687441120.1122866</v>
      </c>
      <c r="F13" s="20">
        <f>F9+F10+F11+F12</f>
        <v>1913395680.7256458</v>
      </c>
    </row>
    <row r="14" spans="1:6" x14ac:dyDescent="0.25">
      <c r="A14" t="s">
        <v>50</v>
      </c>
      <c r="B14" s="21">
        <f>1/(1+Assumptions!$B$26)^(1-0.5*Assumptions!$B$32)</f>
        <v>0.9702976566015925</v>
      </c>
      <c r="C14" s="21">
        <f>1/(1+Assumptions!$B$26)^(2-0.5*Assumptions!$B$32)</f>
        <v>0.9135134531400944</v>
      </c>
      <c r="D14" s="21">
        <f>1/(1+Assumptions!$B$26)^(3-0.5*Assumptions!$B$32)</f>
        <v>0.8600524008176499</v>
      </c>
      <c r="E14" s="21">
        <f>1/(1+Assumptions!$B$26)^(4-0.5*Assumptions!$B$32)</f>
        <v>0.8097200206626473</v>
      </c>
      <c r="F14" s="21">
        <f>1/(1+Assumptions!$B$26)^(5-0.5*Assumptions!$B$32)</f>
        <v>0.7623332150908436</v>
      </c>
    </row>
    <row r="15" spans="1:6" x14ac:dyDescent="0.25">
      <c r="A15" s="19" t="s">
        <v>51</v>
      </c>
      <c r="B15" s="20">
        <f>B13*B14</f>
        <v>1123065604.2200873</v>
      </c>
      <c r="C15" s="20">
        <f>C13*C14</f>
        <v>1198922892.4712143</v>
      </c>
      <c r="D15" s="20">
        <f>D13*D14</f>
        <v>1279903949.2352338</v>
      </c>
      <c r="E15" s="20">
        <f>E13*E14</f>
        <v>1366354858.6443212</v>
      </c>
      <c r="F15" s="20">
        <f>F13*F14</f>
        <v>1458645081.0285149</v>
      </c>
    </row>
    <row r="17" spans="1:2" x14ac:dyDescent="0.25">
      <c r="A17" s="22" t="s">
        <v>52</v>
      </c>
      <c r="B17" s="23">
        <f>SUM(B15:F15)</f>
        <v>6426892385.599371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1913395680.7256458</v>
      </c>
    </row>
    <row r="5" spans="1:2" x14ac:dyDescent="0.25">
      <c r="A5" t="s">
        <v>56</v>
      </c>
      <c r="B5" s="18">
        <f>IF(Assumptions!$B$33=0,B4,B4-Forecast!F11-Forecast!F10-Forecast!F12)</f>
        <v>1266848056.3402154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0.12659905341850203</v>
      </c>
    </row>
    <row r="7" spans="1:2" x14ac:dyDescent="0.25">
      <c r="A7" t="s">
        <v>58</v>
      </c>
      <c r="B7" s="18">
        <f>-MAX(Forecast!F9,0)*B6</f>
        <v>-160381764.7577404</v>
      </c>
    </row>
    <row r="8" spans="1:2" x14ac:dyDescent="0.25">
      <c r="A8" t="s">
        <v>59</v>
      </c>
      <c r="B8" s="18">
        <f>IF(OR(Assumptions!$B$33=0,Assumptions!B12&lt;=0),B5,MAX(B5+B7,0))</f>
        <v>1106466291.582475</v>
      </c>
    </row>
    <row r="9" spans="1:2" x14ac:dyDescent="0.25">
      <c r="A9" t="s">
        <v>60</v>
      </c>
      <c r="B9" s="18">
        <f>B8*(1+Assumptions!B12)/(Assumptions!B26-Assumptions!B12)</f>
        <v>30519941495.29336</v>
      </c>
    </row>
    <row r="10" spans="1:2" x14ac:dyDescent="0.25">
      <c r="A10" t="s">
        <v>61</v>
      </c>
      <c r="B10" s="18">
        <f>B9/(1+Assumptions!B26)^(5-0.5*Assumptions!B32)</f>
        <v>23266365124.491436</v>
      </c>
    </row>
    <row r="11" spans="1:2" x14ac:dyDescent="0.25">
      <c r="A11" t="s">
        <v>62</v>
      </c>
      <c r="B11" s="18">
        <f>Forecast!B17+B10</f>
        <v>29693257510.090805</v>
      </c>
    </row>
    <row r="12" spans="1:2" x14ac:dyDescent="0.25">
      <c r="A12" t="s">
        <v>63</v>
      </c>
      <c r="B12" s="18">
        <f>-Assumptions!B30</f>
        <v>-1049000000</v>
      </c>
    </row>
    <row r="13" spans="1:2" x14ac:dyDescent="0.25">
      <c r="A13" t="s">
        <v>64</v>
      </c>
      <c r="B13" s="18">
        <f>B11+B12</f>
        <v>28644257510.090805</v>
      </c>
    </row>
    <row r="14" spans="1:2" x14ac:dyDescent="0.25">
      <c r="A14" s="19" t="s">
        <v>65</v>
      </c>
      <c r="B14" s="24">
        <f>B13/Assumptions!B31</f>
        <v>121.64815662078391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2264823823.76857</v>
      </c>
    </row>
    <row r="18" spans="1:2" x14ac:dyDescent="0.25">
      <c r="A18" t="s">
        <v>60</v>
      </c>
      <c r="B18" s="18">
        <f>B17*Assumptions!B13</f>
        <v>13713617792.65763</v>
      </c>
    </row>
    <row r="19" spans="1:2" x14ac:dyDescent="0.25">
      <c r="A19" t="s">
        <v>61</v>
      </c>
      <c r="B19" s="18">
        <f>B18/(1+Assumptions!B26)^(5-0.5*Assumptions!B32)</f>
        <v>10454346342.40369</v>
      </c>
    </row>
    <row r="20" spans="1:2" x14ac:dyDescent="0.25">
      <c r="A20" t="s">
        <v>62</v>
      </c>
      <c r="B20" s="18">
        <f>Forecast!B17+B19</f>
        <v>16881238728.003061</v>
      </c>
    </row>
    <row r="21" spans="1:2" x14ac:dyDescent="0.25">
      <c r="A21" t="s">
        <v>63</v>
      </c>
      <c r="B21" s="18">
        <f>-Assumptions!B30</f>
        <v>-1049000000</v>
      </c>
    </row>
    <row r="22" spans="1:2" x14ac:dyDescent="0.25">
      <c r="A22" t="s">
        <v>64</v>
      </c>
      <c r="B22" s="18">
        <f>B20+B21</f>
        <v>15832238728.003061</v>
      </c>
    </row>
    <row r="23" spans="1:2" x14ac:dyDescent="0.25">
      <c r="A23" s="19" t="s">
        <v>65</v>
      </c>
      <c r="B23" s="25">
        <f>B22/Assumptions!B31</f>
        <v>67.23730422278456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121.64815662078391</v>
      </c>
    </row>
    <row r="29" spans="1:2" x14ac:dyDescent="0.25">
      <c r="A29" s="19" t="s">
        <v>73</v>
      </c>
      <c r="B29" s="12">
        <f>B28/B26-1</f>
        <v>3.286404391148129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0.04216</v>
      </c>
      <c r="B5" s="31">
        <v>178.5308711429312</v>
      </c>
      <c r="C5" s="31">
        <v>209.06637118898652</v>
      </c>
      <c r="D5" s="31">
        <v>257.33052960746375</v>
      </c>
      <c r="E5" s="31">
        <v>345.19257958802825</v>
      </c>
      <c r="F5" s="31">
        <v>555.6089978668962</v>
      </c>
    </row>
    <row r="6" spans="1:6" x14ac:dyDescent="0.25">
      <c r="A6" s="30">
        <v>0.05216</v>
      </c>
      <c r="B6" s="31">
        <v>131.54974429698322</v>
      </c>
      <c r="C6" s="31">
        <v>145.52189588018055</v>
      </c>
      <c r="D6" s="31">
        <v>164.59853480284593</v>
      </c>
      <c r="E6" s="31">
        <v>192.23486458898776</v>
      </c>
      <c r="F6" s="31">
        <v>235.91313249688946</v>
      </c>
    </row>
    <row r="7" spans="1:6" x14ac:dyDescent="0.25">
      <c r="A7" s="30">
        <v>0.06216</v>
      </c>
      <c r="B7" s="31">
        <v>104.40740200154306</v>
      </c>
      <c r="C7" s="31">
        <v>112.01806890439204</v>
      </c>
      <c r="D7" s="32">
        <v>121.64887006080144</v>
      </c>
      <c r="E7" s="31">
        <v>134.24203226814097</v>
      </c>
      <c r="F7" s="31">
        <v>151.43361648973715</v>
      </c>
    </row>
    <row r="8" spans="1:6" x14ac:dyDescent="0.25">
      <c r="A8" s="30">
        <v>0.07216</v>
      </c>
      <c r="B8" s="31">
        <v>86.69616158860156</v>
      </c>
      <c r="C8" s="31">
        <v>91.28228224232544</v>
      </c>
      <c r="D8" s="31">
        <v>96.81975164218011</v>
      </c>
      <c r="E8" s="31">
        <v>103.64704775761447</v>
      </c>
      <c r="F8" s="31">
        <v>112.28482184626286</v>
      </c>
    </row>
    <row r="9" spans="1:6" x14ac:dyDescent="0.25">
      <c r="A9" s="30">
        <v>0.08216</v>
      </c>
      <c r="B9" s="31">
        <v>74.20680033110362</v>
      </c>
      <c r="C9" s="31">
        <v>77.15653978663153</v>
      </c>
      <c r="D9" s="31">
        <v>80.60562373199721</v>
      </c>
      <c r="E9" s="31">
        <v>84.69765200131826</v>
      </c>
      <c r="F9" s="31">
        <v>89.63712342536913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2961000000</v>
      </c>
      <c r="C5" s="18">
        <v>2856000000</v>
      </c>
      <c r="D5" s="18">
        <v>2514000000</v>
      </c>
      <c r="E5" s="18">
        <v>2031000000</v>
      </c>
      <c r="F5" s="8" t="s">
        <v>84</v>
      </c>
    </row>
    <row r="6" spans="1:6" x14ac:dyDescent="0.25">
      <c r="A6" t="s">
        <v>44</v>
      </c>
      <c r="B6" s="18">
        <v>958000000</v>
      </c>
      <c r="C6" s="18">
        <v>929000000</v>
      </c>
      <c r="D6" s="18">
        <v>670000000</v>
      </c>
      <c r="E6" s="18">
        <v>640000000</v>
      </c>
      <c r="F6" s="8" t="s">
        <v>85</v>
      </c>
    </row>
    <row r="7" spans="1:6" x14ac:dyDescent="0.25">
      <c r="A7" t="s">
        <v>86</v>
      </c>
      <c r="B7" s="18">
        <v>289000000</v>
      </c>
      <c r="C7" s="18">
        <v>245000000</v>
      </c>
      <c r="D7" s="18">
        <v>346000000</v>
      </c>
      <c r="E7" s="18">
        <v>164000000</v>
      </c>
      <c r="F7" s="8" t="s">
        <v>87</v>
      </c>
    </row>
    <row r="8" spans="1:6" x14ac:dyDescent="0.25">
      <c r="A8" t="s">
        <v>88</v>
      </c>
      <c r="B8" s="18">
        <v>198000000</v>
      </c>
      <c r="C8" s="18">
        <v>217000000</v>
      </c>
      <c r="D8" s="18">
        <v>190000000</v>
      </c>
      <c r="E8" s="18">
        <v>151000000</v>
      </c>
      <c r="F8" s="8" t="s">
        <v>89</v>
      </c>
    </row>
    <row r="9" spans="1:6" x14ac:dyDescent="0.25">
      <c r="A9" t="s">
        <v>90</v>
      </c>
      <c r="B9" s="18">
        <v>-410000000</v>
      </c>
      <c r="C9" s="18">
        <v>-179000000</v>
      </c>
      <c r="D9" s="18">
        <v>-365000000</v>
      </c>
      <c r="E9" s="18">
        <v>-359000000</v>
      </c>
      <c r="F9" s="8" t="s">
        <v>91</v>
      </c>
    </row>
    <row r="10" spans="1:6" x14ac:dyDescent="0.25">
      <c r="A10" t="s">
        <v>92</v>
      </c>
      <c r="B10" s="18">
        <v>4626000000</v>
      </c>
      <c r="C10" s="18">
        <v>4543000000</v>
      </c>
      <c r="D10" s="18">
        <v>4199000000</v>
      </c>
      <c r="E10" s="18">
        <v>3039000000</v>
      </c>
      <c r="F10" s="8" t="s">
        <v>93</v>
      </c>
    </row>
    <row r="11" spans="1:6" x14ac:dyDescent="0.25">
      <c r="A11" t="s">
        <v>94</v>
      </c>
      <c r="B11" s="18">
        <v>3577000000</v>
      </c>
      <c r="C11" s="18">
        <v>3031000000</v>
      </c>
      <c r="D11" s="18">
        <v>3360000000</v>
      </c>
      <c r="E11" s="18">
        <v>3030000000</v>
      </c>
      <c r="F11" s="8" t="s">
        <v>95</v>
      </c>
    </row>
    <row r="12" spans="1:6" x14ac:dyDescent="0.25">
      <c r="A12" t="s">
        <v>32</v>
      </c>
      <c r="B12" s="34">
        <v>235468077</v>
      </c>
      <c r="C12" s="34">
        <v>240062526</v>
      </c>
      <c r="D12" s="34">
        <v>248955830</v>
      </c>
      <c r="E12" s="34">
        <v>264349000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2026-09-19T00:08:11Z</dcterms:modified>
</cp:coreProperties>
</file>