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<sst xmlns="http://schemas.openxmlformats.org/spreadsheetml/2006/main" count="113" uniqueCount="101">
  <si>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Endeavour Group Limited (EDV.AX)</t>
  </si>
  <si>
    <t>DCF Studio - Base case</t>
  </si>
  <si>
    <t>Blue figures on a cream fill are inputs. Every other figure is a formula - change an input and the model reprices. Currency figures are AUD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</si>
  <si>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</si>
  <si>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</si>
  <si>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</si>
  <si>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</si>
  <si>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</si>
  <si>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</si>
  <si>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</si>
  <si>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</si>
  <si>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</si>
  <si>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</si>
  <si>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</si>
  <si>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</si>
  <si>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</si>
  <si>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Australian Government 10-year (RBA F2)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</si>
  <si>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</si>
  <si>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</si>
  <si>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</si>
  <si>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</si>
  <si>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</si>
  <si>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</si>
  <si>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(AUD m)</t>
  </si>
  <si>
    <t>Total debt (AUD m)</t>
  </si>
  <si>
    <t>Equity weight</t>
  </si>
  <si>
    <t>Debt weight</t>
  </si>
  <si>
    <t>WACC</t>
  </si>
  <si>
    <t>Base year</t>
  </si>
  <si>
    <t>Revenue, last reported year (AUD m)</t>
  </si>
  <si>
    <t>Fiscal year ended 2026-06-30</t>
  </si>
  <si>
    <t>Net debt (AUD m)</t>
  </si>
  <si>
    <t>Diluted shares</t>
  </si>
  <si>
    <t>Mid-year discounting (1 = yes, 0 = no)</t>
  </si>
  <si>
    <t>Terminal year on a steady-state footing (1 = yes, 0 = no)</t>
  </si>
  <si>
    <t>Forecast cashflows (AUD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</si>
  <si>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</si>
  <si>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</si>
  <si>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</si>
  <si>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</si>
  <si>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</si>
  <si>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</si>
  <si>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</si>
  <si>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</si>
  <si>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</si>
  <si>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</si>
  <si>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</si>
  <si>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</si>
  <si>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</si>
  <si>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</si>
  <si>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</si>
  <si>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</si>
  <si>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</si>
  <si>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(AUD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</si>
  <si>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</si>
  <si>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</si>
  <si>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</si>
  <si>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</si>
  <si>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</si>
  <si>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</si>
  <si>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</si>
  <si>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</si>
  <si>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</si>
  <si>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</si>
  <si>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</si>
  <si>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</si>
  <si>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</si>
  <si>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</si>
  <si>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</si>
  <si>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(AUD)</t>
  </si>
  <si>
    <t>Conversion, AUD to AUD</t>
  </si>
  <si>
    <t>Same currency, no conversion</t>
  </si>
  <si>
    <t>Value per share (AUD)</t>
  </si>
  <si>
    <t>Implied upside</t>
  </si>
  <si>
    <t>Value per share (AUD)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</si>
  <si>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</si>
  <si>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(AUD m, except shares)</t>
  </si>
  <si>
    <t>What the model was built from. "derived" means the figure was not reported and was computed - the note says how.</t>
  </si>
  <si>
    <t>Fiscal year end</t>
  </si>
  <si>
    <t>2026-06-30</t>
  </si>
  <si>
    <t>2025-06-30</t>
  </si>
  <si>
    <t>2024-06-30</t>
  </si>
  <si>
    <t>2023-06-30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</si>
  <si>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</si>
  <si>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</si>
  <si>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</si>
  <si>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</si>
  <si>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</si>
  <si>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</si>
  <si>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</si>
  <si>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</si>
  <si>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derived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</si>
  <si>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</si>
  <si>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</si>
  <si>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</si>
  <si>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</si>
  <si>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</si>
  <si>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</si>
  <si>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Some line items were not reported and have been derived. Each one is labelled in the workings below.</t>
  </si>
  <si>
    <t>Current EV/EBITDA of 25.1x sits outside a defensible 3-20x band, so the exit multiple is capped at 20.0x. A multiple that far out usually means EBITDA is the wrong denominator for this business.</t>
  </si>
  <si>
    <t>Data: Yahoo Finance. Risk-free rate: Australian Government 10-year (RBA F2).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</si>
</sst>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0.009116678477789408</v>
      </c>
    </row>
    <row r="7" spans="1:2" x14ac:dyDescent="0.25">
      <c r="A7" t="s">
        <v>5</v>
      </c>
      <c r="B7" s="6">
        <v>0.016511438452004163</v>
      </c>
    </row>
    <row r="8" spans="1:2" x14ac:dyDescent="0.25">
      <c r="A8" t="s">
        <v>6</v>
      </c>
      <c r="B8" s="6">
        <v>0.3</v>
      </c>
    </row>
    <row r="9" spans="1:2" x14ac:dyDescent="0.25">
      <c r="A9" t="s">
        <v>7</v>
      </c>
      <c r="B9" s="6">
        <v>0.05164446709995957</v>
      </c>
    </row>
    <row r="10" spans="1:2" x14ac:dyDescent="0.25">
      <c r="A10" t="s">
        <v>8</v>
      </c>
      <c r="B10" s="6">
        <v>0.03413086877076926</v>
      </c>
    </row>
    <row r="11" spans="1:2" x14ac:dyDescent="0.25">
      <c r="A11" t="s">
        <v>9</v>
      </c>
      <c r="B11" s="6">
        <v>0.42207792207792205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0.060993476235493865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0.05348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0.5725399999999999</v>
      </c>
      <c r="C19" s="8" t="s">
        <v>19</v>
      </c>
    </row>
    <row r="20" spans="1:2" x14ac:dyDescent="0.25">
      <c r="A20" t="s">
        <v>20</v>
      </c>
      <c r="B20" s="10">
        <f>B17+B19*B18</f>
        <v>0.0878324</v>
      </c>
    </row>
    <row r="21" spans="1:3" x14ac:dyDescent="0.25">
      <c r="A21" t="s">
        <v>21</v>
      </c>
      <c r="B21" s="6">
        <v>0.05348</v>
      </c>
      <c r="C21" s="8" t="s">
        <v>22</v>
      </c>
    </row>
    <row r="22" spans="1:2" x14ac:dyDescent="0.25">
      <c r="A22" t="s">
        <v>23</v>
      </c>
      <c r="B22" s="11">
        <v>5207604736</v>
      </c>
    </row>
    <row r="23" spans="1:2" x14ac:dyDescent="0.25">
      <c r="A23" t="s">
        <v>24</v>
      </c>
      <c r="B23" s="11">
        <v>5933000000</v>
      </c>
    </row>
    <row r="24" spans="1:2" x14ac:dyDescent="0.25">
      <c r="A24" t="s">
        <v>25</v>
      </c>
      <c r="B24" s="10">
        <f>B22/(B22+B23)</f>
        <v>0.4674436315985639</v>
      </c>
    </row>
    <row r="25" spans="1:2" x14ac:dyDescent="0.25">
      <c r="A25" t="s">
        <v>26</v>
      </c>
      <c r="B25" s="10">
        <f>1-B24</f>
        <v>0.532556368401436</v>
      </c>
    </row>
    <row r="26" spans="1:2" x14ac:dyDescent="0.25">
      <c r="A26" t="s">
        <v>27</v>
      </c>
      <c r="B26" s="12">
        <f>B24*B20+B25*B21*(1-B8)</f>
        <v>0.060993476235493865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12212000000</v>
      </c>
      <c r="C29" s="8" t="s">
        <v>30</v>
      </c>
    </row>
    <row r="30" spans="1:2" x14ac:dyDescent="0.25">
      <c r="A30" t="s">
        <v>31</v>
      </c>
      <c r="B30" s="11">
        <v>5603000000</v>
      </c>
    </row>
    <row r="31" spans="1:2" x14ac:dyDescent="0.25">
      <c r="A31" t="s">
        <v>32</v>
      </c>
      <c r="B31" s="13">
        <v>1792000000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0.009116678477789408</v>
      </c>
      <c r="C5" s="10">
        <f>Assumptions!B6</f>
        <v>0.009116678477789408</v>
      </c>
      <c r="D5" s="10">
        <f>Assumptions!B6</f>
        <v>0.009116678477789408</v>
      </c>
      <c r="E5" s="10">
        <f>Assumptions!B6</f>
        <v>0.009116678477789408</v>
      </c>
      <c r="F5" s="10">
        <f>Assumptions!B6</f>
        <v>0.009116678477789408</v>
      </c>
    </row>
    <row r="6" spans="1:6" x14ac:dyDescent="0.25">
      <c r="A6" t="s">
        <v>43</v>
      </c>
      <c r="B6" s="18">
        <f>Assumptions!B29*(1+B5)</f>
        <v>12323332877.570765</v>
      </c>
      <c r="C6" s="18">
        <f>B6*(1+C5)</f>
        <v>12435680741.190348</v>
      </c>
      <c r="D6" s="18">
        <f>C6*(1+D5)</f>
        <v>12549052844.160217</v>
      </c>
      <c r="E6" s="18">
        <f>D6*(1+E5)</f>
        <v>12663458524.141214</v>
      </c>
      <c r="F6" s="18">
        <f>E6*(1+F5)</f>
        <v>12778907203.922632</v>
      </c>
    </row>
    <row r="7" spans="1:6" x14ac:dyDescent="0.25">
      <c r="A7" t="s">
        <v>5</v>
      </c>
      <c r="B7" s="10">
        <f>Assumptions!B7</f>
        <v>0.016511438452004163</v>
      </c>
      <c r="C7" s="10">
        <f>Assumptions!B7</f>
        <v>0.016511438452004163</v>
      </c>
      <c r="D7" s="10">
        <f>Assumptions!B7</f>
        <v>0.016511438452004163</v>
      </c>
      <c r="E7" s="10">
        <f>Assumptions!B7</f>
        <v>0.016511438452004163</v>
      </c>
      <c r="F7" s="10">
        <f>Assumptions!B7</f>
        <v>0.016511438452004163</v>
      </c>
    </row>
    <row r="8" spans="1:6" x14ac:dyDescent="0.25">
      <c r="A8" t="s">
        <v>44</v>
      </c>
      <c r="B8" s="18">
        <f>B6*B7</f>
        <v>203475952.33156905</v>
      </c>
      <c r="C8" s="18">
        <f>C6*C7</f>
        <v>205330977.16693795</v>
      </c>
      <c r="D8" s="18">
        <f>D6*D7</f>
        <v>207202913.6672992</v>
      </c>
      <c r="E8" s="18">
        <f>E6*E7</f>
        <v>209091916.01086512</v>
      </c>
      <c r="F8" s="18">
        <f>F6*F7</f>
        <v>210998139.78144115</v>
      </c>
    </row>
    <row r="9" spans="1:6" x14ac:dyDescent="0.25">
      <c r="A9" t="s">
        <v>45</v>
      </c>
      <c r="B9" s="18">
        <f>B8*(1-Assumptions!B8)</f>
        <v>142433166.63209832</v>
      </c>
      <c r="C9" s="18">
        <f>C8*(1-Assumptions!B8)</f>
        <v>143731684.01685655</v>
      </c>
      <c r="D9" s="18">
        <f>D8*(1-Assumptions!B8)</f>
        <v>145042039.56710944</v>
      </c>
      <c r="E9" s="18">
        <f>E8*(1-Assumptions!B8)</f>
        <v>146364341.20760557</v>
      </c>
      <c r="F9" s="18">
        <f>F8*(1-Assumptions!B8)</f>
        <v>147698697.8470088</v>
      </c>
    </row>
    <row r="10" spans="1:6" x14ac:dyDescent="0.25">
      <c r="A10" t="s">
        <v>46</v>
      </c>
      <c r="B10" s="18">
        <f>B6*Assumptions!B9</f>
        <v>636431959.3575534</v>
      </c>
      <c r="C10" s="18">
        <f>C6*Assumptions!B9</f>
        <v>642234104.9040058</v>
      </c>
      <c r="D10" s="18">
        <f>D6*Assumptions!B9</f>
        <v>648089146.7458863</v>
      </c>
      <c r="E10" s="18">
        <f>E6*Assumptions!B9</f>
        <v>653997567.1217135</v>
      </c>
      <c r="F10" s="18">
        <f>F6*Assumptions!B9</f>
        <v>659959852.6664187</v>
      </c>
    </row>
    <row r="11" spans="1:6" x14ac:dyDescent="0.25">
      <c r="A11" t="s">
        <v>47</v>
      </c>
      <c r="B11" s="18">
        <f>-B6*Assumptions!B10</f>
        <v>-420606057.2628741</v>
      </c>
      <c r="C11" s="18">
        <f>-C6*Assumptions!B10</f>
        <v>-424440587.4527504</v>
      </c>
      <c r="D11" s="18">
        <f>-D6*Assumptions!B10</f>
        <v>-428310075.82148117</v>
      </c>
      <c r="E11" s="18">
        <f>-E6*Assumptions!B10</f>
        <v>-432214841.0715432</v>
      </c>
      <c r="F11" s="18">
        <f>-F6*Assumptions!B10</f>
        <v>-436155204.8109213</v>
      </c>
    </row>
    <row r="12" spans="1:6" x14ac:dyDescent="0.25">
      <c r="A12" t="s">
        <v>48</v>
      </c>
      <c r="B12" s="18">
        <f>-(B6-Assumptions!B29)*Assumptions!B11</f>
        <v>-46991149.62402399</v>
      </c>
      <c r="C12" s="18">
        <f>-(C6-B6)*Assumptions!B11</f>
        <v>-47419552.82644742</v>
      </c>
      <c r="D12" s="18">
        <f>-(D6-C6)*Assumptions!B11</f>
        <v>-47851861.643126786</v>
      </c>
      <c r="E12" s="18">
        <f>-(E6-D6)*Assumptions!B11</f>
        <v>-48288111.680290975</v>
      </c>
      <c r="F12" s="18">
        <f>-(F6-E6)*Assumptions!B11</f>
        <v>-48728338.868780255</v>
      </c>
    </row>
    <row r="13" spans="1:6" x14ac:dyDescent="0.25">
      <c r="A13" s="19" t="s">
        <v>49</v>
      </c>
      <c r="B13" s="20">
        <f>B9+B10+B11+B12</f>
        <v>311267919.1027536</v>
      </c>
      <c r="C13" s="20">
        <f>C9+C10+C11+C12</f>
        <v>314105648.6416645</v>
      </c>
      <c r="D13" s="20">
        <f>D9+D10+D11+D12</f>
        <v>316969248.84838784</v>
      </c>
      <c r="E13" s="20">
        <f>E9+E10+E11+E12</f>
        <v>319858955.5774849</v>
      </c>
      <c r="F13" s="20">
        <f>F9+F10+F11+F12</f>
        <v>322775006.8337259</v>
      </c>
    </row>
    <row r="14" spans="1:6" x14ac:dyDescent="0.25">
      <c r="A14" t="s">
        <v>50</v>
      </c>
      <c r="B14" s="21">
        <f>1/(1+Assumptions!$B$26)^(1-0.5*Assumptions!$B$32)</f>
        <v>0.9708310172354202</v>
      </c>
      <c r="C14" s="21">
        <f>1/(1+Assumptions!$B$26)^(2-0.5*Assumptions!$B$32)</f>
        <v>0.9150207225401814</v>
      </c>
      <c r="D14" s="21">
        <f>1/(1+Assumptions!$B$26)^(3-0.5*Assumptions!$B$32)</f>
        <v>0.8624188018448167</v>
      </c>
      <c r="E14" s="21">
        <f>1/(1+Assumptions!$B$26)^(4-0.5*Assumptions!$B$32)</f>
        <v>0.8128408149169407</v>
      </c>
      <c r="F14" s="21">
        <f>1/(1+Assumptions!$B$26)^(5-0.5*Assumptions!$B$32)</f>
        <v>0.766112924464887</v>
      </c>
    </row>
    <row r="15" spans="1:6" x14ac:dyDescent="0.25">
      <c r="A15" s="19" t="s">
        <v>51</v>
      </c>
      <c r="B15" s="20">
        <f>B13*B14</f>
        <v>302188550.53527874</v>
      </c>
      <c r="C15" s="20">
        <f>C13*C14</f>
        <v>287413177.5740482</v>
      </c>
      <c r="D15" s="20">
        <f>D13*D14</f>
        <v>273360239.8134782</v>
      </c>
      <c r="E15" s="20">
        <f>E13*E14</f>
        <v>259994414.11008435</v>
      </c>
      <c r="F15" s="20">
        <f>F13*F14</f>
        <v>247282104.42955965</v>
      </c>
    </row>
    <row r="17" spans="1:2" x14ac:dyDescent="0.25">
      <c r="A17" s="22" t="s">
        <v>52</v>
      </c>
      <c r="B17" s="23">
        <f>SUM(B15:F15)</f>
        <v>1370238486.462449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322775006.8337259</v>
      </c>
    </row>
    <row r="5" spans="1:2" x14ac:dyDescent="0.25">
      <c r="A5" t="s">
        <v>56</v>
      </c>
      <c r="B5" s="18">
        <f>IF(Assumptions!$B$33=0,B4,B4-Forecast!F11-Forecast!F10-Forecast!F12)</f>
        <v>147698697.8470088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0.40987990098278376</v>
      </c>
    </row>
    <row r="7" spans="1:2" x14ac:dyDescent="0.25">
      <c r="A7" t="s">
        <v>58</v>
      </c>
      <c r="B7" s="18">
        <f>-MAX(Forecast!F9,0)*B6</f>
        <v>-60538727.64881806</v>
      </c>
    </row>
    <row r="8" spans="1:2" x14ac:dyDescent="0.25">
      <c r="A8" t="s">
        <v>59</v>
      </c>
      <c r="B8" s="18">
        <f>IF(OR(Assumptions!$B$33=0,Assumptions!B12&lt;=0),B5,MAX(B5+B7,0))</f>
        <v>87159970.19819073</v>
      </c>
    </row>
    <row r="9" spans="1:2" x14ac:dyDescent="0.25">
      <c r="A9" t="s">
        <v>60</v>
      </c>
      <c r="B9" s="18">
        <f>B8*(1+Assumptions!B12)/(Assumptions!B26-Assumptions!B12)</f>
        <v>2482087833.60154</v>
      </c>
    </row>
    <row r="10" spans="1:2" x14ac:dyDescent="0.25">
      <c r="A10" t="s">
        <v>61</v>
      </c>
      <c r="B10" s="18">
        <f>B9/(1+Assumptions!B26)^(5-0.5*Assumptions!B32)</f>
        <v>1901559568.9791918</v>
      </c>
    </row>
    <row r="11" spans="1:2" x14ac:dyDescent="0.25">
      <c r="A11" t="s">
        <v>62</v>
      </c>
      <c r="B11" s="18">
        <f>Forecast!B17+B10</f>
        <v>3271798055.441641</v>
      </c>
    </row>
    <row r="12" spans="1:2" x14ac:dyDescent="0.25">
      <c r="A12" t="s">
        <v>63</v>
      </c>
      <c r="B12" s="18">
        <f>-Assumptions!B30</f>
        <v>-5603000000</v>
      </c>
    </row>
    <row r="13" spans="1:2" x14ac:dyDescent="0.25">
      <c r="A13" t="s">
        <v>64</v>
      </c>
      <c r="B13" s="18">
        <f>B11+B12</f>
        <v>-2331201944.558359</v>
      </c>
    </row>
    <row r="14" spans="1:2" x14ac:dyDescent="0.25">
      <c r="A14" s="19" t="s">
        <v>65</v>
      </c>
      <c r="B14" s="24">
        <f>B13/Assumptions!B31</f>
        <v>-1.30089394227587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870957992.4478598</v>
      </c>
    </row>
    <row r="18" spans="1:2" x14ac:dyDescent="0.25">
      <c r="A18" t="s">
        <v>60</v>
      </c>
      <c r="B18" s="18">
        <f>B17*Assumptions!B13</f>
        <v>17419159848.957195</v>
      </c>
    </row>
    <row r="19" spans="1:2" x14ac:dyDescent="0.25">
      <c r="A19" t="s">
        <v>61</v>
      </c>
      <c r="B19" s="18">
        <f>B18/(1+Assumptions!B26)^(5-0.5*Assumptions!B32)</f>
        <v>13345043493.605936</v>
      </c>
    </row>
    <row r="20" spans="1:2" x14ac:dyDescent="0.25">
      <c r="A20" t="s">
        <v>62</v>
      </c>
      <c r="B20" s="18">
        <f>Forecast!B17+B19</f>
        <v>14715281980.068386</v>
      </c>
    </row>
    <row r="21" spans="1:2" x14ac:dyDescent="0.25">
      <c r="A21" t="s">
        <v>63</v>
      </c>
      <c r="B21" s="18">
        <f>-Assumptions!B30</f>
        <v>-5603000000</v>
      </c>
    </row>
    <row r="22" spans="1:2" x14ac:dyDescent="0.25">
      <c r="A22" t="s">
        <v>64</v>
      </c>
      <c r="B22" s="18">
        <f>B20+B21</f>
        <v>9112281980.068386</v>
      </c>
    </row>
    <row r="23" spans="1:2" x14ac:dyDescent="0.25">
      <c r="A23" s="19" t="s">
        <v>65</v>
      </c>
      <c r="B23" s="25">
        <f>B22/Assumptions!B31</f>
        <v>5.084978783520305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2.9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-1.30089394227587</v>
      </c>
    </row>
    <row r="29" spans="1:2" x14ac:dyDescent="0.25">
      <c r="A29" s="19" t="s">
        <v>73</v>
      </c>
      <c r="B29" s="12">
        <f>B28/B26-1</f>
        <v>-1.448584118026162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0.040993</v>
      </c>
      <c r="B5" s="31">
        <v>-0.4848751323745283</v>
      </c>
      <c r="C5" s="31">
        <v>-0.38561697972844167</v>
      </c>
      <c r="D5" s="31">
        <v>-0.22880569823307279</v>
      </c>
      <c r="E5" s="31">
        <v>0.06409022605128906</v>
      </c>
      <c r="F5" s="31">
        <v>0.8336797772452693</v>
      </c>
    </row>
    <row r="6" spans="1:6" x14ac:dyDescent="0.25">
      <c r="A6" s="30">
        <v>0.050993</v>
      </c>
      <c r="B6" s="31">
        <v>-1.0328045059626265</v>
      </c>
      <c r="C6" s="31">
        <v>-1.026343518521319</v>
      </c>
      <c r="D6" s="31">
        <v>-1.0198825310800115</v>
      </c>
      <c r="E6" s="31">
        <v>-1.0134215436387037</v>
      </c>
      <c r="F6" s="31">
        <v>-1.0069605561973967</v>
      </c>
    </row>
    <row r="7" spans="1:6" x14ac:dyDescent="0.25">
      <c r="A7" s="30">
        <v>0.060993</v>
      </c>
      <c r="B7" s="31">
        <v>-1.311235358917903</v>
      </c>
      <c r="C7" s="31">
        <v>-1.3060590243759147</v>
      </c>
      <c r="D7" s="32">
        <v>-1.3008826898339267</v>
      </c>
      <c r="E7" s="31">
        <v>-1.2957063552919383</v>
      </c>
      <c r="F7" s="31">
        <v>-1.2905300207499506</v>
      </c>
    </row>
    <row r="8" spans="1:6" x14ac:dyDescent="0.25">
      <c r="A8" s="30">
        <v>0.070993</v>
      </c>
      <c r="B8" s="31">
        <v>-1.5135231303171333</v>
      </c>
      <c r="C8" s="31">
        <v>-1.5092597577017364</v>
      </c>
      <c r="D8" s="31">
        <v>-1.50499638508634</v>
      </c>
      <c r="E8" s="31">
        <v>-1.5007330124709435</v>
      </c>
      <c r="F8" s="31">
        <v>-1.496469639855547</v>
      </c>
    </row>
    <row r="9" spans="1:6" x14ac:dyDescent="0.25">
      <c r="A9" s="30">
        <v>0.080993</v>
      </c>
      <c r="B9" s="31">
        <v>-1.6677539119418914</v>
      </c>
      <c r="C9" s="31">
        <v>-1.6641699927218194</v>
      </c>
      <c r="D9" s="31">
        <v>-1.6605860735017477</v>
      </c>
      <c r="E9" s="31">
        <v>-1.6570021542816762</v>
      </c>
      <c r="F9" s="31">
        <v>-1.6534182350616045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12212000000</v>
      </c>
      <c r="C5" s="18">
        <v>12058000000</v>
      </c>
      <c r="D5" s="18">
        <v>12309000000</v>
      </c>
      <c r="E5" s="18">
        <v>11884000000</v>
      </c>
      <c r="F5" s="8" t="s">
        <v>84</v>
      </c>
    </row>
    <row r="6" spans="1:6" x14ac:dyDescent="0.25">
      <c r="A6" t="s">
        <v>44</v>
      </c>
      <c r="B6" s="18">
        <v>-212000000</v>
      </c>
      <c r="C6" s="18">
        <v>198000000</v>
      </c>
      <c r="D6" s="18">
        <v>404000000</v>
      </c>
      <c r="E6" s="18">
        <v>406000000</v>
      </c>
      <c r="F6" s="8" t="s">
        <v>85</v>
      </c>
    </row>
    <row r="7" spans="1:6" x14ac:dyDescent="0.25">
      <c r="A7" t="s">
        <v>86</v>
      </c>
      <c r="B7" s="18">
        <v>642000000</v>
      </c>
      <c r="C7" s="18">
        <v>681000000</v>
      </c>
      <c r="D7" s="18">
        <v>607000000</v>
      </c>
      <c r="E7" s="18">
        <v>573000000</v>
      </c>
      <c r="F7" s="8" t="s">
        <v>87</v>
      </c>
    </row>
    <row r="8" spans="1:6" x14ac:dyDescent="0.25">
      <c r="A8" t="s">
        <v>88</v>
      </c>
      <c r="B8" s="18">
        <v>494000000</v>
      </c>
      <c r="C8" s="18">
        <v>334000000</v>
      </c>
      <c r="D8" s="18">
        <v>419000000</v>
      </c>
      <c r="E8" s="18">
        <v>408000000</v>
      </c>
      <c r="F8" s="8" t="s">
        <v>89</v>
      </c>
    </row>
    <row r="9" spans="1:6" x14ac:dyDescent="0.25">
      <c r="A9" t="s">
        <v>90</v>
      </c>
      <c r="B9" s="18">
        <v>65000000</v>
      </c>
      <c r="C9" s="18">
        <v>-118000000</v>
      </c>
      <c r="D9" s="18">
        <v>-155000000</v>
      </c>
      <c r="E9" s="18">
        <v>0</v>
      </c>
      <c r="F9" s="8" t="s">
        <v>91</v>
      </c>
    </row>
    <row r="10" spans="1:6" x14ac:dyDescent="0.25">
      <c r="A10" t="s">
        <v>92</v>
      </c>
      <c r="B10" s="18">
        <v>5933000000</v>
      </c>
      <c r="C10" s="18">
        <v>5817000000</v>
      </c>
      <c r="D10" s="18">
        <v>6072000000</v>
      </c>
      <c r="E10" s="18">
        <v>6088000000</v>
      </c>
      <c r="F10" s="8" t="s">
        <v>93</v>
      </c>
    </row>
    <row r="11" spans="1:6" x14ac:dyDescent="0.25">
      <c r="A11" t="s">
        <v>94</v>
      </c>
      <c r="B11" s="18">
        <v>330000000</v>
      </c>
      <c r="C11" s="18">
        <v>318000000</v>
      </c>
      <c r="D11" s="18">
        <v>293000000</v>
      </c>
      <c r="E11" s="18">
        <v>290000000</v>
      </c>
      <c r="F11" s="8" t="s">
        <v>95</v>
      </c>
    </row>
    <row r="12" spans="1:6" x14ac:dyDescent="0.25">
      <c r="A12" t="s">
        <v>32</v>
      </c>
      <c r="B12" s="34">
        <v>1792000000</v>
      </c>
      <c r="C12" s="34">
        <v>1791000000</v>
      </c>
      <c r="D12" s="34">
        <v>1791000000</v>
      </c>
      <c r="E12" s="34">
        <v>1791000000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38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2026-09-19T00:07:01Z</dcterms:modified>
</cp:coreProperties>
</file>