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<sst xmlns="http://schemas.openxmlformats.org/spreadsheetml/2006/main" count="113" uniqueCount="101">
  <si>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Endeavour Mining plc (EDV.L)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</si>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</sst>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0.26957989166411367</v>
      </c>
    </row>
    <row r="7" spans="1:2" x14ac:dyDescent="0.25">
      <c r="A7" t="s">
        <v>5</v>
      </c>
      <c r="B7" s="6">
        <v>0.3213126901450598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0.24024872425429106</v>
      </c>
    </row>
    <row r="10" spans="1:2" x14ac:dyDescent="0.25">
      <c r="A10" t="s">
        <v>8</v>
      </c>
      <c r="B10" s="6">
        <v>0.2371444157352532</v>
      </c>
    </row>
    <row r="11" spans="1:2" x14ac:dyDescent="0.25">
      <c r="A11" t="s">
        <v>9</v>
      </c>
      <c r="B11" s="6">
        <v>0.15641848523748395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4.522547632666031</v>
      </c>
    </row>
    <row r="14" spans="1:3" x14ac:dyDescent="0.25">
      <c r="A14" t="s">
        <v>12</v>
      </c>
      <c r="B14" s="6">
        <v>0.12288892710891784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1.13869</v>
      </c>
      <c r="C19" s="8" t="s">
        <v>19</v>
      </c>
    </row>
    <row r="20" spans="1:2" x14ac:dyDescent="0.25">
      <c r="A20" t="s">
        <v>20</v>
      </c>
      <c r="B20" s="10">
        <f>B17+B19*B18</f>
        <v>0.10762795</v>
      </c>
    </row>
    <row r="21" spans="1:3" x14ac:dyDescent="0.25">
      <c r="A21" t="s">
        <v>21</v>
      </c>
      <c r="B21" s="6">
        <v>0.09129032258064516</v>
      </c>
      <c r="C21" s="8" t="s">
        <v>22</v>
      </c>
    </row>
    <row r="22" spans="1:2" x14ac:dyDescent="0.25">
      <c r="A22" t="s">
        <v>23</v>
      </c>
      <c r="B22" s="11">
        <v>11200465920</v>
      </c>
    </row>
    <row r="23" spans="1:2" x14ac:dyDescent="0.25">
      <c r="A23" t="s">
        <v>24</v>
      </c>
      <c r="B23" s="11">
        <v>685700000</v>
      </c>
    </row>
    <row r="24" spans="1:2" x14ac:dyDescent="0.25">
      <c r="A24" t="s">
        <v>25</v>
      </c>
      <c r="B24" s="10">
        <f>B22/(B22+B23)</f>
        <v>0.9423110862985496</v>
      </c>
    </row>
    <row r="25" spans="1:2" x14ac:dyDescent="0.25">
      <c r="A25" t="s">
        <v>26</v>
      </c>
      <c r="B25" s="10">
        <f>1-B24</f>
        <v>0.05768891370145035</v>
      </c>
    </row>
    <row r="26" spans="1:2" x14ac:dyDescent="0.25">
      <c r="A26" t="s">
        <v>27</v>
      </c>
      <c r="B26" s="12">
        <f>B24*B20+B25*B21*(1-B8)</f>
        <v>0.1053688401364353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4233900000</v>
      </c>
      <c r="C29" s="8" t="s">
        <v>30</v>
      </c>
    </row>
    <row r="30" spans="1:2" x14ac:dyDescent="0.25">
      <c r="A30" t="s">
        <v>31</v>
      </c>
      <c r="B30" s="11">
        <v>185500000</v>
      </c>
    </row>
    <row r="31" spans="1:2" x14ac:dyDescent="0.25">
      <c r="A31" t="s">
        <v>32</v>
      </c>
      <c r="B31" s="13">
        <v>247500000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0.26957989166411367</v>
      </c>
      <c r="C5" s="10">
        <f>Assumptions!B6</f>
        <v>0.26957989166411367</v>
      </c>
      <c r="D5" s="10">
        <f>Assumptions!B6</f>
        <v>0.26957989166411367</v>
      </c>
      <c r="E5" s="10">
        <f>Assumptions!B6</f>
        <v>0.26957989166411367</v>
      </c>
      <c r="F5" s="10">
        <f>Assumptions!B6</f>
        <v>0.26957989166411367</v>
      </c>
    </row>
    <row r="6" spans="1:6" x14ac:dyDescent="0.25">
      <c r="A6" t="s">
        <v>43</v>
      </c>
      <c r="B6" s="18">
        <f>Assumptions!B29*(1+B5)</f>
        <v>5375274303.31669</v>
      </c>
      <c r="C6" s="18">
        <f>B6*(1+C5)</f>
        <v>6824340167.669698</v>
      </c>
      <c r="D6" s="18">
        <f>C6*(1+D5)</f>
        <v>8664045050.749155</v>
      </c>
      <c r="E6" s="18">
        <f>D6*(1+E5)</f>
        <v>10999697376.903112</v>
      </c>
      <c r="F6" s="18">
        <f>E6*(1+F5)</f>
        <v>13964994604.10669</v>
      </c>
    </row>
    <row r="7" spans="1:6" x14ac:dyDescent="0.25">
      <c r="A7" t="s">
        <v>5</v>
      </c>
      <c r="B7" s="10">
        <f>Assumptions!B7</f>
        <v>0.3213126901450598</v>
      </c>
      <c r="C7" s="10">
        <f>Assumptions!B7</f>
        <v>0.3213126901450598</v>
      </c>
      <c r="D7" s="10">
        <f>Assumptions!B7</f>
        <v>0.3213126901450598</v>
      </c>
      <c r="E7" s="10">
        <f>Assumptions!B7</f>
        <v>0.3213126901450598</v>
      </c>
      <c r="F7" s="10">
        <f>Assumptions!B7</f>
        <v>0.3213126901450598</v>
      </c>
    </row>
    <row r="8" spans="1:6" x14ac:dyDescent="0.25">
      <c r="A8" t="s">
        <v>44</v>
      </c>
      <c r="B8" s="18">
        <f>B6*B7</f>
        <v>1727143846.666298</v>
      </c>
      <c r="C8" s="18">
        <f>C6*C7</f>
        <v>2192747097.7389393</v>
      </c>
      <c r="D8" s="18">
        <f>D6*D7</f>
        <v>2783867622.7942023</v>
      </c>
      <c r="E8" s="18">
        <f>E6*E7</f>
        <v>3534342354.954297</v>
      </c>
      <c r="F8" s="18">
        <f>F6*F7</f>
        <v>4487129984.106765</v>
      </c>
    </row>
    <row r="9" spans="1:6" x14ac:dyDescent="0.25">
      <c r="A9" t="s">
        <v>45</v>
      </c>
      <c r="B9" s="18">
        <f>B8*(1-Assumptions!B8)</f>
        <v>1295357884.9997234</v>
      </c>
      <c r="C9" s="18">
        <f>C8*(1-Assumptions!B8)</f>
        <v>1644560323.3042045</v>
      </c>
      <c r="D9" s="18">
        <f>D8*(1-Assumptions!B8)</f>
        <v>2087900717.0956516</v>
      </c>
      <c r="E9" s="18">
        <f>E8*(1-Assumptions!B8)</f>
        <v>2650756766.215723</v>
      </c>
      <c r="F9" s="18">
        <f>F8*(1-Assumptions!B8)</f>
        <v>3365347488.0800734</v>
      </c>
    </row>
    <row r="10" spans="1:6" x14ac:dyDescent="0.25">
      <c r="A10" t="s">
        <v>46</v>
      </c>
      <c r="B10" s="18">
        <f>B6*Assumptions!B9</f>
        <v>1291402793.888708</v>
      </c>
      <c r="C10" s="18">
        <f>C6*Assumptions!B9</f>
        <v>1639539019.1599596</v>
      </c>
      <c r="D10" s="18">
        <f>D6*Assumptions!B9</f>
        <v>2081525770.324189</v>
      </c>
      <c r="E10" s="18">
        <f>E6*Assumptions!B9</f>
        <v>2642663261.9842443</v>
      </c>
      <c r="F10" s="18">
        <f>F6*Assumptions!B9</f>
        <v>3355072137.8546906</v>
      </c>
    </row>
    <row r="11" spans="1:6" x14ac:dyDescent="0.25">
      <c r="A11" t="s">
        <v>47</v>
      </c>
      <c r="B11" s="18">
        <f>-B6*Assumptions!B10</f>
        <v>-1274716284.0767567</v>
      </c>
      <c r="C11" s="18">
        <f>-C6*Assumptions!B10</f>
        <v>-1618354161.8406503</v>
      </c>
      <c r="D11" s="18">
        <f>-D6*Assumptions!B10</f>
        <v>-2054629901.4638205</v>
      </c>
      <c r="E11" s="18">
        <f>-E6*Assumptions!B10</f>
        <v>-2608516807.7102857</v>
      </c>
      <c r="F11" s="18">
        <f>-F6*Assumptions!B10</f>
        <v>-3311720486.136844</v>
      </c>
    </row>
    <row r="12" spans="1:6" x14ac:dyDescent="0.25">
      <c r="A12" t="s">
        <v>48</v>
      </c>
      <c r="B12" s="18">
        <f>-(B6-Assumptions!B29)*Assumptions!B11</f>
        <v>-178532039.61378527</v>
      </c>
      <c r="C12" s="18">
        <f>-(C6-B6)*Assumptions!B11</f>
        <v>-226660687.51144278</v>
      </c>
      <c r="D12" s="18">
        <f>-(D6-C6)*Assumptions!B11</f>
        <v>-287763851.0952912</v>
      </c>
      <c r="E12" s="18">
        <f>-(E6-D6)*Assumptions!B11</f>
        <v>-365339198.8984078</v>
      </c>
      <c r="F12" s="18">
        <f>-(F6-E6)*Assumptions!B11</f>
        <v>-463827300.5580948</v>
      </c>
    </row>
    <row r="13" spans="1:6" x14ac:dyDescent="0.25">
      <c r="A13" s="19" t="s">
        <v>49</v>
      </c>
      <c r="B13" s="20">
        <f>B9+B10+B11+B12</f>
        <v>1133512355.1978896</v>
      </c>
      <c r="C13" s="20">
        <f>C9+C10+C11+C12</f>
        <v>1439084493.1120706</v>
      </c>
      <c r="D13" s="20">
        <f>D9+D10+D11+D12</f>
        <v>1827032734.8607292</v>
      </c>
      <c r="E13" s="20">
        <f>E9+E10+E11+E12</f>
        <v>2319564021.591274</v>
      </c>
      <c r="F13" s="20">
        <f>F9+F10+F11+F12</f>
        <v>2944871839.239825</v>
      </c>
    </row>
    <row r="14" spans="1:6" x14ac:dyDescent="0.25">
      <c r="A14" t="s">
        <v>50</v>
      </c>
      <c r="B14" s="21">
        <f>1/(1+Assumptions!$B$26)^(1-0.5*Assumptions!$B$32)</f>
        <v>0.9511442593913194</v>
      </c>
      <c r="C14" s="21">
        <f>1/(1+Assumptions!$B$26)^(2-0.5*Assumptions!$B$32)</f>
        <v>0.8604768153894405</v>
      </c>
      <c r="D14" s="21">
        <f>1/(1+Assumptions!$B$26)^(3-0.5*Assumptions!$B$32)</f>
        <v>0.7784522090230374</v>
      </c>
      <c r="E14" s="21">
        <f>1/(1+Assumptions!$B$26)^(4-0.5*Assumptions!$B$32)</f>
        <v>0.7042465652704243</v>
      </c>
      <c r="F14" s="21">
        <f>1/(1+Assumptions!$B$26)^(5-0.5*Assumptions!$B$32)</f>
        <v>0.6371145446650183</v>
      </c>
    </row>
    <row r="15" spans="1:6" x14ac:dyDescent="0.25">
      <c r="A15" s="19" t="s">
        <v>51</v>
      </c>
      <c r="B15" s="20">
        <f>B13*B14</f>
        <v>1078133769.5956068</v>
      </c>
      <c r="C15" s="20">
        <f>C13*C14</f>
        <v>1238298841.7094018</v>
      </c>
      <c r="D15" s="20">
        <f>D13*D14</f>
        <v>1422257668.409736</v>
      </c>
      <c r="E15" s="20">
        <f>E13*E14</f>
        <v>1633544995.1305068</v>
      </c>
      <c r="F15" s="20">
        <f>F13*F14</f>
        <v>1876220680.9541159</v>
      </c>
    </row>
    <row r="17" spans="1:2" x14ac:dyDescent="0.25">
      <c r="A17" s="22" t="s">
        <v>52</v>
      </c>
      <c r="B17" s="23">
        <f>SUM(B15:F15)</f>
        <v>7248455955.799367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2944871839.239825</v>
      </c>
    </row>
    <row r="5" spans="1:2" x14ac:dyDescent="0.25">
      <c r="A5" t="s">
        <v>56</v>
      </c>
      <c r="B5" s="18">
        <f>IF(Assumptions!$B$33=0,B4,B4-Forecast!F11-Forecast!F10-Forecast!F12)</f>
        <v>3365347488.0800734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0.20343574143048884</v>
      </c>
    </row>
    <row r="7" spans="1:2" x14ac:dyDescent="0.25">
      <c r="A7" t="s">
        <v>58</v>
      </c>
      <c r="B7" s="18">
        <f>-MAX(Forecast!F9,0)*B6</f>
        <v>-684631961.408803</v>
      </c>
    </row>
    <row r="8" spans="1:2" x14ac:dyDescent="0.25">
      <c r="A8" t="s">
        <v>59</v>
      </c>
      <c r="B8" s="18">
        <f>IF(OR(Assumptions!$B$33=0,Assumptions!B12&lt;=0),B5,MAX(B5+B7,0))</f>
        <v>2680715526.6712704</v>
      </c>
    </row>
    <row r="9" spans="1:2" x14ac:dyDescent="0.25">
      <c r="A9" t="s">
        <v>60</v>
      </c>
      <c r="B9" s="18">
        <f>B8*(1+Assumptions!B12)/(Assumptions!B26-Assumptions!B12)</f>
        <v>34189039062.570267</v>
      </c>
    </row>
    <row r="10" spans="1:2" x14ac:dyDescent="0.25">
      <c r="A10" t="s">
        <v>61</v>
      </c>
      <c r="B10" s="18">
        <f>B9/(1+Assumptions!B26)^(5-0.5*Assumptions!B32)</f>
        <v>21782334054.88398</v>
      </c>
    </row>
    <row r="11" spans="1:2" x14ac:dyDescent="0.25">
      <c r="A11" t="s">
        <v>62</v>
      </c>
      <c r="B11" s="18">
        <f>Forecast!B17+B10</f>
        <v>29030790010.683346</v>
      </c>
    </row>
    <row r="12" spans="1:2" x14ac:dyDescent="0.25">
      <c r="A12" t="s">
        <v>63</v>
      </c>
      <c r="B12" s="18">
        <f>-Assumptions!B30</f>
        <v>-185500000</v>
      </c>
    </row>
    <row r="13" spans="1:2" x14ac:dyDescent="0.25">
      <c r="A13" t="s">
        <v>64</v>
      </c>
      <c r="B13" s="18">
        <f>B11+B12</f>
        <v>28845290010.683346</v>
      </c>
    </row>
    <row r="14" spans="1:2" x14ac:dyDescent="0.25">
      <c r="A14" s="19" t="s">
        <v>65</v>
      </c>
      <c r="B14" s="24">
        <f>B13/Assumptions!B31</f>
        <v>116.54662630579129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7842202121.961455</v>
      </c>
    </row>
    <row r="18" spans="1:2" x14ac:dyDescent="0.25">
      <c r="A18" t="s">
        <v>60</v>
      </c>
      <c r="B18" s="18">
        <f>B17*Assumptions!B13</f>
        <v>35466732641.56531</v>
      </c>
    </row>
    <row r="19" spans="1:2" x14ac:dyDescent="0.25">
      <c r="A19" t="s">
        <v>61</v>
      </c>
      <c r="B19" s="18">
        <f>B18/(1+Assumptions!B26)^(5-0.5*Assumptions!B32)</f>
        <v>22596371217.68682</v>
      </c>
    </row>
    <row r="20" spans="1:2" x14ac:dyDescent="0.25">
      <c r="A20" t="s">
        <v>62</v>
      </c>
      <c r="B20" s="18">
        <f>Forecast!B17+B19</f>
        <v>29844827173.486187</v>
      </c>
    </row>
    <row r="21" spans="1:2" x14ac:dyDescent="0.25">
      <c r="A21" t="s">
        <v>63</v>
      </c>
      <c r="B21" s="18">
        <f>-Assumptions!B30</f>
        <v>-185500000</v>
      </c>
    </row>
    <row r="22" spans="1:2" x14ac:dyDescent="0.25">
      <c r="A22" t="s">
        <v>64</v>
      </c>
      <c r="B22" s="18">
        <f>B20+B21</f>
        <v>29659327173.486187</v>
      </c>
    </row>
    <row r="23" spans="1:2" x14ac:dyDescent="0.25">
      <c r="A23" s="19" t="s">
        <v>65</v>
      </c>
      <c r="B23" s="25">
        <f>B22/Assumptions!B31</f>
        <v>119.83566534741894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4647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8701.720759869295</v>
      </c>
    </row>
    <row r="29" spans="1:2" x14ac:dyDescent="0.25">
      <c r="A29" s="19" t="s">
        <v>73</v>
      </c>
      <c r="B29" s="12">
        <f>B28/B26-1</f>
        <v>0.8725458919451894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0.085369</v>
      </c>
      <c r="B5" s="31">
        <v>149.16739095994538</v>
      </c>
      <c r="C5" s="31">
        <v>152.93771115988505</v>
      </c>
      <c r="D5" s="31">
        <v>157.26919018770002</v>
      </c>
      <c r="E5" s="31">
        <v>162.31385142142008</v>
      </c>
      <c r="F5" s="31">
        <v>168.28408210495664</v>
      </c>
    </row>
    <row r="6" spans="1:6" x14ac:dyDescent="0.25">
      <c r="A6" s="30">
        <v>0.095369</v>
      </c>
      <c r="B6" s="31">
        <v>129.35068251465438</v>
      </c>
      <c r="C6" s="31">
        <v>131.5451991512821</v>
      </c>
      <c r="D6" s="31">
        <v>133.99939368418393</v>
      </c>
      <c r="E6" s="31">
        <v>136.7728535086714</v>
      </c>
      <c r="F6" s="31">
        <v>139.94490707765553</v>
      </c>
    </row>
    <row r="7" spans="1:6" x14ac:dyDescent="0.25">
      <c r="A7" s="30">
        <v>0.105369</v>
      </c>
      <c r="B7" s="31">
        <v>113.9617213154132</v>
      </c>
      <c r="C7" s="31">
        <v>115.19900515934029</v>
      </c>
      <c r="D7" s="32">
        <v>116.54638221453042</v>
      </c>
      <c r="E7" s="31">
        <v>118.02576332189892</v>
      </c>
      <c r="F7" s="31">
        <v>119.66528673526035</v>
      </c>
    </row>
    <row r="8" spans="1:6" x14ac:dyDescent="0.25">
      <c r="A8" s="30">
        <v>0.115369</v>
      </c>
      <c r="B8" s="31">
        <v>101.6753653002676</v>
      </c>
      <c r="C8" s="31">
        <v>102.31042983926072</v>
      </c>
      <c r="D8" s="31">
        <v>102.97831405480115</v>
      </c>
      <c r="E8" s="31">
        <v>103.68478462036768</v>
      </c>
      <c r="F8" s="31">
        <v>104.43704325864434</v>
      </c>
    </row>
    <row r="9" spans="1:6" x14ac:dyDescent="0.25">
      <c r="A9" s="30">
        <v>0.125369</v>
      </c>
      <c r="B9" s="31">
        <v>91.82427396750055</v>
      </c>
      <c r="C9" s="31">
        <v>92.14299247908559</v>
      </c>
      <c r="D9" s="31">
        <v>92.46171099067062</v>
      </c>
      <c r="E9" s="31">
        <v>92.78042950225564</v>
      </c>
      <c r="F9" s="31">
        <v>93.09914801384066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4233900000</v>
      </c>
      <c r="C5" s="18">
        <v>2675900000</v>
      </c>
      <c r="D5" s="18">
        <v>2114600000</v>
      </c>
      <c r="E5" s="18">
        <v>2069000000</v>
      </c>
      <c r="F5" s="8" t="s">
        <v>84</v>
      </c>
    </row>
    <row r="6" spans="1:6" x14ac:dyDescent="0.25">
      <c r="A6" t="s">
        <v>44</v>
      </c>
      <c r="B6" s="18">
        <v>1869500000</v>
      </c>
      <c r="C6" s="18">
        <v>714500000</v>
      </c>
      <c r="D6" s="18">
        <v>572400000</v>
      </c>
      <c r="E6" s="18">
        <v>633100000</v>
      </c>
      <c r="F6" s="8" t="s">
        <v>85</v>
      </c>
    </row>
    <row r="7" spans="1:6" x14ac:dyDescent="0.25">
      <c r="A7" t="s">
        <v>86</v>
      </c>
      <c r="B7" s="18">
        <v>648100000</v>
      </c>
      <c r="C7" s="18">
        <v>649100000</v>
      </c>
      <c r="D7" s="18">
        <v>542300000</v>
      </c>
      <c r="E7" s="18">
        <v>639100000</v>
      </c>
      <c r="F7" s="8" t="s">
        <v>87</v>
      </c>
    </row>
    <row r="8" spans="1:6" x14ac:dyDescent="0.25">
      <c r="A8" t="s">
        <v>88</v>
      </c>
      <c r="B8" s="18">
        <v>532400000</v>
      </c>
      <c r="C8" s="18">
        <v>685700000</v>
      </c>
      <c r="D8" s="18">
        <v>762600000</v>
      </c>
      <c r="E8" s="18">
        <v>426100000</v>
      </c>
      <c r="F8" s="8" t="s">
        <v>89</v>
      </c>
    </row>
    <row r="9" spans="1:6" x14ac:dyDescent="0.25">
      <c r="A9" t="s">
        <v>90</v>
      </c>
      <c r="B9" s="18">
        <v>243700000</v>
      </c>
      <c r="C9" s="18">
        <v>2100000</v>
      </c>
      <c r="D9" s="18">
        <v>126900000</v>
      </c>
      <c r="E9" s="18">
        <v>72600000</v>
      </c>
      <c r="F9" s="8" t="s">
        <v>91</v>
      </c>
    </row>
    <row r="10" spans="1:6" x14ac:dyDescent="0.25">
      <c r="A10" t="s">
        <v>92</v>
      </c>
      <c r="B10" s="18">
        <v>685700000</v>
      </c>
      <c r="C10" s="18">
        <v>1174300000</v>
      </c>
      <c r="D10" s="18">
        <v>1110600000</v>
      </c>
      <c r="E10" s="18">
        <v>871800000</v>
      </c>
      <c r="F10" s="8" t="s">
        <v>93</v>
      </c>
    </row>
    <row r="11" spans="1:6" x14ac:dyDescent="0.25">
      <c r="A11" t="s">
        <v>94</v>
      </c>
      <c r="B11" s="18">
        <v>500200000</v>
      </c>
      <c r="C11" s="18">
        <v>418600000</v>
      </c>
      <c r="D11" s="18">
        <v>586900000</v>
      </c>
      <c r="E11" s="18">
        <v>967700000</v>
      </c>
      <c r="F11" s="8" t="s">
        <v>95</v>
      </c>
    </row>
    <row r="12" spans="1:6" x14ac:dyDescent="0.25">
      <c r="A12" t="s">
        <v>32</v>
      </c>
      <c r="B12" s="34">
        <v>247500000</v>
      </c>
      <c r="C12" s="34">
        <v>243417277</v>
      </c>
      <c r="D12" s="34">
        <v>244468927</v>
      </c>
      <c r="E12" s="34">
        <v>248661565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