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<sst xmlns="http://schemas.openxmlformats.org/spreadsheetml/2006/main" count="119" uniqueCount="106">
  <si>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Equifax Inc. (EFX)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</si>
  <si>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</si>
  <si>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</si>
  <si>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</si>
  <si>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</si>
  <si>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</si>
  <si>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</si>
  <si>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</si>
  <si>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</si>
  <si>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</si>
  <si>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</si>
  <si>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</si>
  <si>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</si>
  <si>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</si>
  <si>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</si>
  <si>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</si>
  <si>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</si>
  <si>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</si>
  <si>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</si>
  <si>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</si>
  <si>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</si>
  <si>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</si>
  <si>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</si>
  <si>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</si>
  <si>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+ 78bp, the spread for a A rating at 5.2x interest cover. Book interest / average debt was lower, at 4.2%.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</si>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</sst>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0.09741183801135889</v>
      </c>
    </row>
    <row r="7" spans="1:2" x14ac:dyDescent="0.25">
      <c r="A7" t="s">
        <v>4</v>
      </c>
      <c r="B7" s="5">
        <v>0.18680101927041654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0.11704705698855977</v>
      </c>
    </row>
    <row r="10" spans="1:3" x14ac:dyDescent="0.25">
      <c r="A10" t="s">
        <v>7</v>
      </c>
      <c r="B10" s="5">
        <v>0.1013519148487391</v>
      </c>
      <c r="C10" s="6" t="s">
        <v>8</v>
      </c>
    </row>
    <row r="11" spans="1:2" x14ac:dyDescent="0.25">
      <c r="A11" t="s">
        <v>9</v>
      </c>
      <c r="B11" s="5">
        <v>0.1338484197146241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14.598656354755501</v>
      </c>
    </row>
    <row r="14" spans="1:3" x14ac:dyDescent="0.25">
      <c r="A14" t="s">
        <v>12</v>
      </c>
      <c r="B14" s="5">
        <v>0.09023886469804522</v>
      </c>
      <c r="C14" s="6" t="s">
        <v>13</v>
      </c>
    </row>
    <row r="15" spans="1:3" x14ac:dyDescent="0.25">
      <c r="A15" t="s">
        <v>14</v>
      </c>
      <c r="B15" s="5">
        <v>0.11704705698855977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1.22847</v>
      </c>
      <c r="C19" s="6" t="s">
        <v>21</v>
      </c>
    </row>
    <row r="20" spans="1:2" x14ac:dyDescent="0.25">
      <c r="A20" t="s">
        <v>22</v>
      </c>
      <c r="B20" s="9">
        <f>B17+B19*B18</f>
        <v>0.100904281</v>
      </c>
    </row>
    <row r="21" spans="1:3" x14ac:dyDescent="0.25">
      <c r="A21" t="s">
        <v>23</v>
      </c>
      <c r="B21" s="5">
        <v>0.056740000000000006</v>
      </c>
      <c r="C21" s="6" t="s">
        <v>24</v>
      </c>
    </row>
    <row r="22" spans="1:2" x14ac:dyDescent="0.25">
      <c r="A22" t="s">
        <v>25</v>
      </c>
      <c r="B22" s="10">
        <v>21687711744</v>
      </c>
    </row>
    <row r="23" spans="1:2" x14ac:dyDescent="0.25">
      <c r="A23" t="s">
        <v>26</v>
      </c>
      <c r="B23" s="10">
        <v>5093300000</v>
      </c>
    </row>
    <row r="24" spans="1:2" x14ac:dyDescent="0.25">
      <c r="A24" t="s">
        <v>27</v>
      </c>
      <c r="B24" s="9">
        <f>B22/(B22+B23)</f>
        <v>0.8098167444648129</v>
      </c>
    </row>
    <row r="25" spans="1:2" x14ac:dyDescent="0.25">
      <c r="A25" t="s">
        <v>28</v>
      </c>
      <c r="B25" s="9">
        <f>1-B24</f>
        <v>0.1901832555351871</v>
      </c>
    </row>
    <row r="26" spans="1:2" x14ac:dyDescent="0.25">
      <c r="A26" t="s">
        <v>29</v>
      </c>
      <c r="B26" s="11">
        <f>B24*B20+B25*B21*(1-B8)</f>
        <v>0.09023886469804522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6074500000</v>
      </c>
      <c r="C29" s="6" t="s">
        <v>32</v>
      </c>
    </row>
    <row r="30" spans="1:2" x14ac:dyDescent="0.25">
      <c r="A30" t="s">
        <v>33</v>
      </c>
      <c r="B30" s="10">
        <v>4912500000</v>
      </c>
    </row>
    <row r="31" spans="1:2" x14ac:dyDescent="0.25">
      <c r="A31" t="s">
        <v>34</v>
      </c>
      <c r="B31" s="12">
        <v>124100000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0.09741183801135889</v>
      </c>
      <c r="C5" s="5">
        <v>0.05958436127406452</v>
      </c>
      <c r="D5" s="5">
        <v>0.05526131611480646</v>
      </c>
      <c r="E5" s="5">
        <v>0.05093827095554839</v>
      </c>
      <c r="F5" s="5">
        <v>0.04661522579629033</v>
      </c>
      <c r="G5" s="5">
        <v>0.04229218063703226</v>
      </c>
      <c r="H5" s="5">
        <v>0.037969135477774196</v>
      </c>
      <c r="I5" s="5">
        <v>0.033646090318516134</v>
      </c>
      <c r="J5" s="5">
        <v>0.029323045159258068</v>
      </c>
      <c r="K5" s="5">
        <v>0.025</v>
      </c>
    </row>
    <row r="6" spans="1:11" x14ac:dyDescent="0.25">
      <c r="A6" t="s">
        <v>50</v>
      </c>
      <c r="B6" s="18">
        <f>Assumptions!B29*(1+B5)</f>
        <v>6666228210</v>
      </c>
      <c r="C6" s="18">
        <f>B6*(1+C5)</f>
        <v>7063431160</v>
      </c>
      <c r="D6" s="18">
        <f>C6*(1+D5)</f>
        <v>7453765662.187935</v>
      </c>
      <c r="E6" s="18">
        <f>D6*(1+E5)</f>
        <v>7833447597.127626</v>
      </c>
      <c r="F6" s="18">
        <f>E6*(1+F5)</f>
        <v>8198605525.631139</v>
      </c>
      <c r="G6" s="18">
        <f>F6*(1+G5)</f>
        <v>8545342431.492902</v>
      </c>
      <c r="H6" s="18">
        <f>G6*(1+H5)</f>
        <v>8869801695.97823</v>
      </c>
      <c r="I6" s="18">
        <f>H6*(1+I5)</f>
        <v>9168235844.94844</v>
      </c>
      <c r="J6" s="18">
        <f>I6*(1+J5)</f>
        <v>9437076438.660593</v>
      </c>
      <c r="K6" s="18">
        <f>J6*(1+K5)</f>
        <v>9673003349.627108</v>
      </c>
    </row>
    <row r="7" spans="1:11" x14ac:dyDescent="0.25">
      <c r="A7" t="s">
        <v>4</v>
      </c>
      <c r="B7" s="9">
        <f>Assumptions!B7</f>
        <v>0.18680101927041654</v>
      </c>
      <c r="C7" s="9">
        <f>Assumptions!B7</f>
        <v>0.18680101927041654</v>
      </c>
      <c r="D7" s="9">
        <f>Assumptions!B7</f>
        <v>0.18680101927041654</v>
      </c>
      <c r="E7" s="9">
        <f>Assumptions!B7</f>
        <v>0.18680101927041654</v>
      </c>
      <c r="F7" s="9">
        <f>Assumptions!B7</f>
        <v>0.18680101927041654</v>
      </c>
      <c r="G7" s="9">
        <f>Assumptions!B7</f>
        <v>0.18680101927041654</v>
      </c>
      <c r="H7" s="9">
        <f>Assumptions!B7</f>
        <v>0.18680101927041654</v>
      </c>
      <c r="I7" s="9">
        <f>Assumptions!B7</f>
        <v>0.18680101927041654</v>
      </c>
      <c r="J7" s="9">
        <f>Assumptions!B7</f>
        <v>0.18680101927041654</v>
      </c>
      <c r="K7" s="9">
        <f>Assumptions!B7</f>
        <v>0.18680101927041654</v>
      </c>
    </row>
    <row r="8" spans="1:11" x14ac:dyDescent="0.25">
      <c r="A8" t="s">
        <v>51</v>
      </c>
      <c r="B8" s="18">
        <f>B6*B7</f>
        <v>1245258224.3172042</v>
      </c>
      <c r="C8" s="18">
        <f>C6*C7</f>
        <v>1319456140.2344205</v>
      </c>
      <c r="D8" s="18">
        <f>D6*D7</f>
        <v>1392371023.0995374</v>
      </c>
      <c r="E8" s="18">
        <f>E6*E7</f>
        <v>1463295995.5448358</v>
      </c>
      <c r="F8" s="18">
        <f>F6*F7</f>
        <v>1531507868.7839658</v>
      </c>
      <c r="G8" s="18">
        <f>G6*G7</f>
        <v>1596278676.2176137</v>
      </c>
      <c r="H8" s="18">
        <f>H6*H7</f>
        <v>1656887997.5352025</v>
      </c>
      <c r="I8" s="18">
        <f>I6*I7</f>
        <v>1712635800.7479372</v>
      </c>
      <c r="J8" s="18">
        <f>J6*J7</f>
        <v>1762855497.6746314</v>
      </c>
      <c r="K8" s="18">
        <f>K6*K7</f>
        <v>1806926885.116497</v>
      </c>
    </row>
    <row r="9" spans="1:11" x14ac:dyDescent="0.25">
      <c r="A9" t="s">
        <v>52</v>
      </c>
      <c r="B9" s="18">
        <f>B8*(1-Assumptions!B8)</f>
        <v>983753997.2105914</v>
      </c>
      <c r="C9" s="18">
        <f>C8*(1-Assumptions!B8)</f>
        <v>1042370350.7851923</v>
      </c>
      <c r="D9" s="18">
        <f>D8*(1-Assumptions!B8)</f>
        <v>1099973108.2486346</v>
      </c>
      <c r="E9" s="18">
        <f>E8*(1-Assumptions!B8)</f>
        <v>1156003836.4804204</v>
      </c>
      <c r="F9" s="18">
        <f>F8*(1-Assumptions!B8)</f>
        <v>1209891216.339333</v>
      </c>
      <c r="G9" s="18">
        <f>G8*(1-Assumptions!B8)</f>
        <v>1261060154.2119148</v>
      </c>
      <c r="H9" s="18">
        <f>H8*(1-Assumptions!B8)</f>
        <v>1308941518.05281</v>
      </c>
      <c r="I9" s="18">
        <f>I8*(1-Assumptions!B8)</f>
        <v>1352982282.5908704</v>
      </c>
      <c r="J9" s="18">
        <f>J8*(1-Assumptions!B8)</f>
        <v>1392655843.1629589</v>
      </c>
      <c r="K9" s="18">
        <f>K8*(1-Assumptions!B8)</f>
        <v>1427472239.2420328</v>
      </c>
    </row>
    <row r="10" spans="1:11" x14ac:dyDescent="0.25">
      <c r="A10" t="s">
        <v>53</v>
      </c>
      <c r="B10" s="18">
        <f>B6*Assumptions!B9</f>
        <v>780262393.1946148</v>
      </c>
      <c r="C10" s="18">
        <f>C6*Assumptions!B9</f>
        <v>826753829.5192889</v>
      </c>
      <c r="D10" s="18">
        <f>D6*Assumptions!B9</f>
        <v>872441334.2414812</v>
      </c>
      <c r="E10" s="18">
        <f>E6*Assumptions!B9</f>
        <v>916881987.3178939</v>
      </c>
      <c r="F10" s="18">
        <f>F6*Assumptions!B9</f>
        <v>959622648.185269</v>
      </c>
      <c r="G10" s="18">
        <f>G6*Assumptions!B9</f>
        <v>1000207182.5657076</v>
      </c>
      <c r="H10" s="18">
        <f>H6*Assumptions!B9</f>
        <v>1038184184.586388</v>
      </c>
      <c r="I10" s="18">
        <f>I6*Assumptions!B9</f>
        <v>1073115023.4282366</v>
      </c>
      <c r="J10" s="18">
        <f>J6*Assumptions!B9</f>
        <v>1104582023.721301</v>
      </c>
      <c r="K10" s="18">
        <f>K6*Assumptions!B9</f>
        <v>1132196574.3143337</v>
      </c>
    </row>
    <row r="11" spans="1:11" x14ac:dyDescent="0.25">
      <c r="A11" t="s">
        <v>54</v>
      </c>
      <c r="B11" s="18">
        <f>-B6*B19</f>
        <v>-675634993.9021825</v>
      </c>
      <c r="C11" s="18">
        <f>-C6*C19</f>
        <v>-760296988.5997186</v>
      </c>
      <c r="D11" s="18">
        <f>-D6*D19</f>
        <v>-849170578.9591994</v>
      </c>
      <c r="E11" s="18">
        <f>-E6*E19</f>
        <v>-941671333.078485</v>
      </c>
      <c r="F11" s="18">
        <f>-F6*F19</f>
        <v>-1037108616.8237201</v>
      </c>
      <c r="G11" s="18">
        <f>-G6*G19</f>
        <v>-1134691047.615818</v>
      </c>
      <c r="H11" s="18">
        <f>-H6*H19</f>
        <v>-1233534865.6305954</v>
      </c>
      <c r="I11" s="18">
        <f>-I6*I19</f>
        <v>-1332675196.5406861</v>
      </c>
      <c r="J11" s="18">
        <f>-J6*J19</f>
        <v>-1431080080.6370862</v>
      </c>
      <c r="K11" s="18">
        <f>-K6*K19</f>
        <v>-1527667041.5067682</v>
      </c>
    </row>
    <row r="12" spans="1:11" x14ac:dyDescent="0.25">
      <c r="A12" t="s">
        <v>55</v>
      </c>
      <c r="B12" s="18">
        <f>-(B6-Assumptions!B29)*Assumptions!B11</f>
        <v>-79201885.80906323</v>
      </c>
      <c r="C12" s="18">
        <f>-(C6-B6)*Assumptions!B11</f>
        <v>-53164987.16348685</v>
      </c>
      <c r="D12" s="18">
        <f>-(D6-C6)*Assumptions!B11</f>
        <v>-52245656.27794957</v>
      </c>
      <c r="E12" s="18">
        <f>-(E6-D6)*Assumptions!B11</f>
        <v>-50819826.98586844</v>
      </c>
      <c r="F12" s="18">
        <f>-(F6-E6)*Assumptions!B11</f>
        <v>-48875811.676460825</v>
      </c>
      <c r="G12" s="18">
        <f>-(G6-F6)*Assumptions!B11</f>
        <v>-46410186.90633536</v>
      </c>
      <c r="H12" s="18">
        <f>-(H6-G6)*Assumptions!B11</f>
        <v>-43428359.81313038</v>
      </c>
      <c r="I12" s="18">
        <f>-(I6-H6)*Assumptions!B11</f>
        <v>-39944939.22854146</v>
      </c>
      <c r="J12" s="18">
        <f>-(J6-I6)*Assumptions!B11</f>
        <v>-35983888.623512916</v>
      </c>
      <c r="K12" s="18">
        <f>-(K6-J6)*Assumptions!B11</f>
        <v>-31578444.201020796</v>
      </c>
    </row>
    <row r="13" spans="1:11" x14ac:dyDescent="0.25">
      <c r="A13" s="19" t="s">
        <v>56</v>
      </c>
      <c r="B13" s="20">
        <f>B9+B10+B11+B12</f>
        <v>1009179510.6939604</v>
      </c>
      <c r="C13" s="20">
        <f>C9+C10+C11+C12</f>
        <v>1055662204.5412756</v>
      </c>
      <c r="D13" s="20">
        <f>D9+D10+D11+D12</f>
        <v>1070998207.2529666</v>
      </c>
      <c r="E13" s="20">
        <f>E9+E10+E11+E12</f>
        <v>1080394663.7339606</v>
      </c>
      <c r="F13" s="20">
        <f>F9+F10+F11+F12</f>
        <v>1083529436.0244212</v>
      </c>
      <c r="G13" s="20">
        <f>G9+G10+G11+G12</f>
        <v>1080166102.2554688</v>
      </c>
      <c r="H13" s="20">
        <f>H9+H10+H11+H12</f>
        <v>1070162477.195472</v>
      </c>
      <c r="I13" s="20">
        <f>I9+I10+I11+I12</f>
        <v>1053477170.2498792</v>
      </c>
      <c r="J13" s="20">
        <f>J9+J10+J11+J12</f>
        <v>1030173897.6236612</v>
      </c>
      <c r="K13" s="20">
        <f>K9+K10+K11+K12</f>
        <v>1000423327.8485774</v>
      </c>
    </row>
    <row r="14" spans="1:11" x14ac:dyDescent="0.25">
      <c r="A14" t="s">
        <v>57</v>
      </c>
      <c r="B14" s="21">
        <f>1/(1+Assumptions!$B$26)^(1-0.5*Assumptions!$B$32)</f>
        <v>0.9577213525193128</v>
      </c>
      <c r="C14" s="21">
        <f>1/(1+Assumptions!$B$26)^(2-0.5*Assumptions!$B$32)</f>
        <v>0.8784509372490268</v>
      </c>
      <c r="D14" s="21">
        <f>1/(1+Assumptions!$B$26)^(3-0.5*Assumptions!$B$32)</f>
        <v>0.8057417192628923</v>
      </c>
      <c r="E14" s="21">
        <f>1/(1+Assumptions!$B$26)^(4-0.5*Assumptions!$B$32)</f>
        <v>0.739050629502235</v>
      </c>
      <c r="F14" s="21">
        <f>1/(1+Assumptions!$B$26)^(5-0.5*Assumptions!$B$32)</f>
        <v>0.6778795486316881</v>
      </c>
      <c r="G14" s="21">
        <f>1/(1+Assumptions!$B$26)^(6-0.5*Assumptions!$B$32)</f>
        <v>0.6217715865590931</v>
      </c>
      <c r="H14" s="21">
        <f>1/(1+Assumptions!$B$26)^(7-0.5*Assumptions!$B$32)</f>
        <v>0.5703076698988347</v>
      </c>
      <c r="I14" s="21">
        <f>1/(1+Assumptions!$B$26)^(8-0.5*Assumptions!$B$32)</f>
        <v>0.5231034118901902</v>
      </c>
      <c r="J14" s="21">
        <f>1/(1+Assumptions!$B$26)^(9-0.5*Assumptions!$B$32)</f>
        <v>0.47980624139194483</v>
      </c>
      <c r="K14" s="21">
        <f>1/(1+Assumptions!$B$26)^(10-0.5*Assumptions!$B$32)</f>
        <v>0.4400927695095817</v>
      </c>
    </row>
    <row r="15" spans="1:11" x14ac:dyDescent="0.25">
      <c r="A15" s="19" t="s">
        <v>58</v>
      </c>
      <c r="B15" s="20">
        <f>B13*B14</f>
        <v>966512765.9165981</v>
      </c>
      <c r="C15" s="20">
        <f>C13*C14</f>
        <v>927347452.9976574</v>
      </c>
      <c r="D15" s="20">
        <f>D13*D14</f>
        <v>862947936.8394808</v>
      </c>
      <c r="E15" s="20">
        <f>E13*E14</f>
        <v>798466356.3434391</v>
      </c>
      <c r="F15" s="20">
        <f>F13*F14</f>
        <v>734502445.0213822</v>
      </c>
      <c r="G15" s="20">
        <f>G13*G14</f>
        <v>671616591.1467345</v>
      </c>
      <c r="H15" s="20">
        <f>H13*H14</f>
        <v>610321868.7825146</v>
      </c>
      <c r="I15" s="20">
        <f>I13*I14</f>
        <v>551077502.1061345</v>
      </c>
      <c r="J15" s="20">
        <f>J13*J14</f>
        <v>494283865.79889905</v>
      </c>
      <c r="K15" s="20">
        <f>K13*K14</f>
        <v>440279073.03487265</v>
      </c>
    </row>
    <row r="17" spans="1:2" x14ac:dyDescent="0.25">
      <c r="A17" s="22" t="s">
        <v>59</v>
      </c>
      <c r="B17" s="23">
        <f>SUM(B15:K15)</f>
        <v>7057355857.987713</v>
      </c>
    </row>
    <row r="19" spans="1:11" x14ac:dyDescent="0.25">
      <c r="A19" t="s">
        <v>7</v>
      </c>
      <c r="B19" s="9">
        <f>Assumptions!$B$10+($B$20-Assumptions!$B$10)*0/9</f>
        <v>0.1013519148487391</v>
      </c>
      <c r="C19" s="9">
        <f>Assumptions!$B$10+($B$20-Assumptions!$B$10)*1/9</f>
        <v>0.10763847928542969</v>
      </c>
      <c r="D19" s="9">
        <f>Assumptions!$B$10+($B$20-Assumptions!$B$10)*2/9</f>
        <v>0.1139250437221203</v>
      </c>
      <c r="E19" s="9">
        <f>Assumptions!$B$10+($B$20-Assumptions!$B$10)*3/9</f>
        <v>0.12021160815881089</v>
      </c>
      <c r="F19" s="9">
        <f>Assumptions!$B$10+($B$20-Assumptions!$B$10)*4/9</f>
        <v>0.1264981725955015</v>
      </c>
      <c r="G19" s="9">
        <f>Assumptions!$B$10+($B$20-Assumptions!$B$10)*5/9</f>
        <v>0.1327847370321921</v>
      </c>
      <c r="H19" s="9">
        <f>Assumptions!$B$10+($B$20-Assumptions!$B$10)*6/9</f>
        <v>0.1390713014688827</v>
      </c>
      <c r="I19" s="9">
        <f>Assumptions!$B$10+($B$20-Assumptions!$B$10)*7/9</f>
        <v>0.1453578659055733</v>
      </c>
      <c r="J19" s="9">
        <f>Assumptions!$B$10+($B$20-Assumptions!$B$10)*8/9</f>
        <v>0.1516444303422639</v>
      </c>
      <c r="K19" s="9">
        <f>Assumptions!$B$10+($B$20-Assumptions!$B$10)*9/9</f>
        <v>0.1579309947789545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0.1579309947789545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1000423327.8485774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1427472239.2420328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0.27704249254081714</v>
      </c>
    </row>
    <row r="7" spans="1:2" x14ac:dyDescent="0.25">
      <c r="A7" t="s">
        <v>66</v>
      </c>
      <c r="B7" s="18">
        <f>-MAX(B5,0)*B6</f>
        <v>-395470467.19243443</v>
      </c>
    </row>
    <row r="8" spans="1:2" x14ac:dyDescent="0.25">
      <c r="A8" t="s">
        <v>67</v>
      </c>
      <c r="B8" s="18">
        <f>IF(OR(Assumptions!$B$33=0,Assumptions!B12&lt;=0),B5,MAX(B5+B7,0))</f>
        <v>1032001772.0495983</v>
      </c>
    </row>
    <row r="9" spans="1:2" x14ac:dyDescent="0.25">
      <c r="A9" t="s">
        <v>68</v>
      </c>
      <c r="B9" s="18">
        <f>B8*(1+Assumptions!B12)/(Assumptions!B26-Assumptions!B12)</f>
        <v>16214289154.88981</v>
      </c>
    </row>
    <row r="10" spans="1:2" x14ac:dyDescent="0.25">
      <c r="A10" t="s">
        <v>69</v>
      </c>
      <c r="B10" s="18">
        <f>B9/(1+Assumptions!B26)^(10-0.5*Assumptions!B32)</f>
        <v>7135791419.804632</v>
      </c>
    </row>
    <row r="11" spans="1:2" x14ac:dyDescent="0.25">
      <c r="A11" t="s">
        <v>70</v>
      </c>
      <c r="B11" s="18">
        <f>Forecast!B17+B10</f>
        <v>14193147277.792345</v>
      </c>
    </row>
    <row r="12" spans="1:2" x14ac:dyDescent="0.25">
      <c r="A12" t="s">
        <v>71</v>
      </c>
      <c r="B12" s="18">
        <f>-Assumptions!B30</f>
        <v>-4912500000</v>
      </c>
    </row>
    <row r="13" spans="1:2" x14ac:dyDescent="0.25">
      <c r="A13" t="s">
        <v>72</v>
      </c>
      <c r="B13" s="18">
        <f>B11+B12</f>
        <v>9280647277.792345</v>
      </c>
    </row>
    <row r="14" spans="1:2" x14ac:dyDescent="0.25">
      <c r="A14" s="19" t="s">
        <v>73</v>
      </c>
      <c r="B14" s="24">
        <f>B13/Assumptions!B31</f>
        <v>74.78362028841535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2939123459.430831</v>
      </c>
    </row>
    <row r="18" spans="1:2" x14ac:dyDescent="0.25">
      <c r="A18" t="s">
        <v>68</v>
      </c>
      <c r="B18" s="18">
        <f>B17*Assumptions!B13</f>
        <v>42907253368.43087</v>
      </c>
    </row>
    <row r="19" spans="1:2" x14ac:dyDescent="0.25">
      <c r="A19" t="s">
        <v>69</v>
      </c>
      <c r="B19" s="18">
        <f>B18/(1+Assumptions!B26)^(10-0.5*Assumptions!B32)</f>
        <v>18883171966.96207</v>
      </c>
    </row>
    <row r="20" spans="1:2" x14ac:dyDescent="0.25">
      <c r="A20" t="s">
        <v>70</v>
      </c>
      <c r="B20" s="18">
        <f>Forecast!B17+B19</f>
        <v>25940527824.949783</v>
      </c>
    </row>
    <row r="21" spans="1:2" x14ac:dyDescent="0.25">
      <c r="A21" t="s">
        <v>71</v>
      </c>
      <c r="B21" s="18">
        <f>-Assumptions!B30</f>
        <v>-4912500000</v>
      </c>
    </row>
    <row r="22" spans="1:2" x14ac:dyDescent="0.25">
      <c r="A22" t="s">
        <v>72</v>
      </c>
      <c r="B22" s="18">
        <f>B20+B21</f>
        <v>21028027824.949783</v>
      </c>
    </row>
    <row r="23" spans="1:2" x14ac:dyDescent="0.25">
      <c r="A23" s="19" t="s">
        <v>73</v>
      </c>
      <c r="B23" s="25">
        <f>B22/Assumptions!B31</f>
        <v>169.44422099073154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184.6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74.78362028841535</v>
      </c>
    </row>
    <row r="29" spans="1:2" x14ac:dyDescent="0.25">
      <c r="A29" s="19" t="s">
        <v>81</v>
      </c>
      <c r="B29" s="11">
        <f>B28/B26-1</f>
        <v>-0.5948882974625387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0.070239</v>
      </c>
      <c r="B5" s="31">
        <v>116.68728404088023</v>
      </c>
      <c r="C5" s="31">
        <v>117.07611704524186</v>
      </c>
      <c r="D5" s="31">
        <v>117.90619762012079</v>
      </c>
      <c r="E5" s="31">
        <v>119.34201080634216</v>
      </c>
      <c r="F5" s="31">
        <v>121.64139562232694</v>
      </c>
    </row>
    <row r="6" spans="1:6" x14ac:dyDescent="0.25">
      <c r="A6" s="30">
        <v>0.080239</v>
      </c>
      <c r="B6" s="31">
        <v>93.48564244945744</v>
      </c>
      <c r="C6" s="31">
        <v>92.37278882159907</v>
      </c>
      <c r="D6" s="31">
        <v>91.33356971052866</v>
      </c>
      <c r="E6" s="31">
        <v>90.38997038171372</v>
      </c>
      <c r="F6" s="31">
        <v>89.57369570780466</v>
      </c>
    </row>
    <row r="7" spans="1:6" x14ac:dyDescent="0.25">
      <c r="A7" s="30">
        <v>0.090239</v>
      </c>
      <c r="B7" s="31">
        <v>77.48528517646908</v>
      </c>
      <c r="C7" s="31">
        <v>76.13436668947267</v>
      </c>
      <c r="D7" s="32">
        <v>74.78344820247628</v>
      </c>
      <c r="E7" s="31">
        <v>73.4325297154799</v>
      </c>
      <c r="F7" s="31">
        <v>72.0816112284835</v>
      </c>
    </row>
    <row r="8" spans="1:6" x14ac:dyDescent="0.25">
      <c r="A8" s="30">
        <v>0.100239</v>
      </c>
      <c r="B8" s="31">
        <v>65.64709588712675</v>
      </c>
      <c r="C8" s="31">
        <v>64.4953610012278</v>
      </c>
      <c r="D8" s="31">
        <v>63.343626115328846</v>
      </c>
      <c r="E8" s="31">
        <v>62.1918912294299</v>
      </c>
      <c r="F8" s="31">
        <v>61.040156343530924</v>
      </c>
    </row>
    <row r="9" spans="1:6" x14ac:dyDescent="0.25">
      <c r="A9" s="30">
        <v>0.110239</v>
      </c>
      <c r="B9" s="31">
        <v>55.98172636834894</v>
      </c>
      <c r="C9" s="31">
        <v>54.98911435354056</v>
      </c>
      <c r="D9" s="31">
        <v>53.996502338732185</v>
      </c>
      <c r="E9" s="31">
        <v>53.003890323923805</v>
      </c>
      <c r="F9" s="31">
        <v>52.011278309115426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6074500000</v>
      </c>
      <c r="C5" s="18">
        <v>5681100000</v>
      </c>
      <c r="D5" s="18">
        <v>5265200000</v>
      </c>
      <c r="E5" s="18">
        <v>5122200000</v>
      </c>
      <c r="F5" s="6" t="s">
        <v>91</v>
      </c>
    </row>
    <row r="6" spans="1:6" x14ac:dyDescent="0.25">
      <c r="A6" t="s">
        <v>51</v>
      </c>
      <c r="B6" s="18">
        <v>1095200000</v>
      </c>
      <c r="C6" s="18">
        <v>1042100000</v>
      </c>
      <c r="D6" s="18">
        <v>933600000</v>
      </c>
      <c r="E6" s="18">
        <v>1056000000</v>
      </c>
      <c r="F6" s="6" t="s">
        <v>92</v>
      </c>
    </row>
    <row r="7" spans="1:6" x14ac:dyDescent="0.25">
      <c r="A7" t="s">
        <v>93</v>
      </c>
      <c r="B7" s="18">
        <v>726900000</v>
      </c>
      <c r="C7" s="18">
        <v>680600000</v>
      </c>
      <c r="D7" s="18">
        <v>619800000</v>
      </c>
      <c r="E7" s="18">
        <v>568600000</v>
      </c>
      <c r="F7" s="6" t="s">
        <v>94</v>
      </c>
    </row>
    <row r="8" spans="1:6" x14ac:dyDescent="0.25">
      <c r="A8" t="s">
        <v>95</v>
      </c>
      <c r="B8" s="18">
        <v>481400000</v>
      </c>
      <c r="C8" s="18">
        <v>511500000</v>
      </c>
      <c r="D8" s="18">
        <v>601300000</v>
      </c>
      <c r="E8" s="18">
        <v>624500000</v>
      </c>
      <c r="F8" s="6" t="s">
        <v>96</v>
      </c>
    </row>
    <row r="9" spans="1:6" x14ac:dyDescent="0.25">
      <c r="A9" t="s">
        <v>97</v>
      </c>
      <c r="B9" s="18">
        <v>-117100000</v>
      </c>
      <c r="C9" s="18">
        <v>-21900000</v>
      </c>
      <c r="D9" s="18">
        <v>42500000</v>
      </c>
      <c r="E9" s="18">
        <v>625600000</v>
      </c>
      <c r="F9" s="6" t="s">
        <v>98</v>
      </c>
    </row>
    <row r="10" spans="1:6" x14ac:dyDescent="0.25">
      <c r="A10" t="s">
        <v>99</v>
      </c>
      <c r="B10" s="18">
        <v>5093300000</v>
      </c>
      <c r="C10" s="18">
        <v>5010500000</v>
      </c>
      <c r="D10" s="18">
        <v>5711200000</v>
      </c>
      <c r="E10" s="18">
        <v>5787300000</v>
      </c>
      <c r="F10" s="6" t="s">
        <v>100</v>
      </c>
    </row>
    <row r="11" spans="1:6" x14ac:dyDescent="0.25">
      <c r="A11" t="s">
        <v>101</v>
      </c>
      <c r="B11" s="18">
        <v>180800000</v>
      </c>
      <c r="C11" s="18">
        <v>169900000</v>
      </c>
      <c r="D11" s="18">
        <v>216800000</v>
      </c>
      <c r="E11" s="18">
        <v>285200000</v>
      </c>
      <c r="F11" s="6" t="s">
        <v>102</v>
      </c>
    </row>
    <row r="12" spans="1:6" x14ac:dyDescent="0.25">
      <c r="A12" t="s">
        <v>34</v>
      </c>
      <c r="B12" s="34">
        <v>124100000</v>
      </c>
      <c r="C12" s="34">
        <v>124900000</v>
      </c>
      <c r="D12" s="34">
        <v>123900000</v>
      </c>
      <c r="E12" s="34">
        <v>123300000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