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<sst xmlns="http://schemas.openxmlformats.org/spreadsheetml/2006/main" count="70" uniqueCount="67">
  <si>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Everest Group, Ltd. (EG)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</si>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</sst>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</v>
      </c>
    </row>
    <row r="9" spans="1:2" x14ac:dyDescent="0.25">
      <c r="A9" t="s">
        <v>8</v>
      </c>
      <c r="B9" s="8">
        <f>B6+B8*B7</f>
        <v>0.09124</v>
      </c>
    </row>
    <row r="10" spans="1:2" x14ac:dyDescent="0.25">
      <c r="A10" t="s">
        <v>9</v>
      </c>
      <c r="B10" s="8">
        <f>MEDIAN('Source data'!B9:E9)</f>
        <v>0.11336119919285097</v>
      </c>
    </row>
    <row r="11" spans="1:2" x14ac:dyDescent="0.25">
      <c r="A11" t="s">
        <v>10</v>
      </c>
      <c r="B11" s="8">
        <f>IFERROR(MIN(MAX(MEDIAN('Source data'!B10:E10),0),1),0)</f>
        <v>0.2129688493324857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15460000000</v>
      </c>
    </row>
    <row r="15" spans="1:2" x14ac:dyDescent="0.25">
      <c r="A15" t="s">
        <v>14</v>
      </c>
      <c r="B15" s="10">
        <f>'Source data'!B8</f>
        <v>42089947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0.08921879504179879</v>
      </c>
    </row>
    <row r="18" spans="1:2" x14ac:dyDescent="0.25">
      <c r="A18" t="s">
        <v>17</v>
      </c>
      <c r="B18" s="8">
        <f>MIN(B10,B12)</f>
        <v>0.11336119919285097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0.11336119919285097</v>
      </c>
      <c r="C22" s="8">
        <f>$B$10+($B$18-$B$10)*C21/$B$16</f>
        <v>0.11336119919285097</v>
      </c>
      <c r="D22" s="8">
        <f>$B$10+($B$18-$B$10)*D21/$B$16</f>
        <v>0.11336119919285097</v>
      </c>
      <c r="E22" s="8">
        <f>$B$10+($B$18-$B$10)*E21/$B$16</f>
        <v>0.11336119919285097</v>
      </c>
      <c r="F22" s="8">
        <f>$B$10+($B$18-$B$10)*F21/$B$16</f>
        <v>0.11336119919285097</v>
      </c>
      <c r="G22" s="8">
        <f>$B$10+($B$18-$B$10)*G21/$B$16</f>
        <v>0.11336119919285097</v>
      </c>
      <c r="H22" s="8">
        <f>$B$10+($B$18-$B$10)*H21/$B$16</f>
        <v>0.11336119919285097</v>
      </c>
      <c r="I22" s="8">
        <f>$B$10+($B$18-$B$10)*I21/$B$16</f>
        <v>0.11336119919285097</v>
      </c>
      <c r="J22" s="8">
        <f>$B$10+($B$18-$B$10)*J21/$B$16</f>
        <v>0.11336119919285097</v>
      </c>
      <c r="K22" s="8">
        <f>$B$10+($B$18-$B$10)*K21/$B$16</f>
        <v>0.11336119919285097</v>
      </c>
    </row>
    <row r="23" spans="1:11" x14ac:dyDescent="0.25">
      <c r="A23" t="s">
        <v>31</v>
      </c>
      <c r="B23" s="8">
        <f>$B$17+($B$13-$B$17)*B21/$B$16</f>
        <v>0.0827969155376189</v>
      </c>
      <c r="C23" s="8">
        <f>$B$17+($B$13-$B$17)*C21/$B$16</f>
        <v>0.07637503603343904</v>
      </c>
      <c r="D23" s="8">
        <f>$B$17+($B$13-$B$17)*D21/$B$16</f>
        <v>0.06995315652925915</v>
      </c>
      <c r="E23" s="8">
        <f>$B$17+($B$13-$B$17)*E21/$B$16</f>
        <v>0.06353127702507927</v>
      </c>
      <c r="F23" s="8">
        <f>$B$17+($B$13-$B$17)*F21/$B$16</f>
        <v>0.0571093975208994</v>
      </c>
      <c r="G23" s="8">
        <f>$B$17+($B$13-$B$17)*G21/$B$16</f>
        <v>0.05068751801671952</v>
      </c>
      <c r="H23" s="8">
        <f>$B$17+($B$13-$B$17)*H21/$B$16</f>
        <v>0.044265638512539646</v>
      </c>
      <c r="I23" s="8">
        <f>$B$17+($B$13-$B$17)*I21/$B$16</f>
        <v>0.03784375900835976</v>
      </c>
      <c r="J23" s="8">
        <f>$B$17+($B$13-$B$17)*J21/$B$16</f>
        <v>0.031421879504179885</v>
      </c>
      <c r="K23" s="8">
        <f>$B$17+($B$13-$B$17)*K21/$B$16</f>
        <v>0.02500000000000001</v>
      </c>
    </row>
    <row r="24" spans="1:11" x14ac:dyDescent="0.25">
      <c r="A24" t="s">
        <v>32</v>
      </c>
      <c r="B24" s="9">
        <f>$B$14</f>
        <v>15460000000</v>
      </c>
      <c r="C24" s="9">
        <f>B24*(1+B23)</f>
        <v>16740040314.211588</v>
      </c>
      <c r="D24" s="9">
        <f>C24*(1+C23)</f>
        <v>18018561496.410725</v>
      </c>
      <c r="E24" s="9">
        <f>D24*(1+D23)</f>
        <v>19279016749.20123</v>
      </c>
      <c r="F24" s="9">
        <f>E24*(1+E23)</f>
        <v>20503837303.065876</v>
      </c>
      <c r="G24" s="9">
        <f>F24*(1+F23)</f>
        <v>21674799098.310513</v>
      </c>
      <c r="H24" s="9">
        <f>G24*(1+G23)</f>
        <v>22773440868.114906</v>
      </c>
      <c r="I24" s="9">
        <f>H24*(1+H23)</f>
        <v>23781521769.26958</v>
      </c>
      <c r="J24" s="9">
        <f>I24*(1+I23)</f>
        <v>24681503947.957882</v>
      </c>
      <c r="K24" s="9">
        <f>J24*(1+J23)</f>
        <v>25457043190.992554</v>
      </c>
    </row>
    <row r="25" spans="1:11" x14ac:dyDescent="0.25">
      <c r="A25" t="s">
        <v>33</v>
      </c>
      <c r="B25" s="9">
        <f>(B22-$B$9)*B24</f>
        <v>341993739.5214759</v>
      </c>
      <c r="C25" s="9">
        <f>(C22-$B$9)*C24</f>
        <v>370309766.28703</v>
      </c>
      <c r="D25" s="9">
        <f>(D22-$B$9)*D24</f>
        <v>398592188.0307364</v>
      </c>
      <c r="E25" s="9">
        <f>(E22-$B$9)*E24</f>
        <v>426474969.75139046</v>
      </c>
      <c r="F25" s="9">
        <f>(F22-$B$9)*F24</f>
        <v>453569469.19892836</v>
      </c>
      <c r="G25" s="9">
        <f>(G22-$B$9)*G24</f>
        <v>479472548.31875336</v>
      </c>
      <c r="H25" s="9">
        <f>(H22-$B$9)*H24</f>
        <v>503775821.7501826</v>
      </c>
      <c r="I25" s="9">
        <f>(I22-$B$9)*I24</f>
        <v>526075780.1671339</v>
      </c>
      <c r="J25" s="9">
        <f>(J22-$B$9)*J24</f>
        <v>545984465.2119138</v>
      </c>
      <c r="K25" s="9">
        <f>(K22-$B$9)*K24</f>
        <v>563140323.2889566</v>
      </c>
    </row>
    <row r="26" spans="1:11" x14ac:dyDescent="0.25">
      <c r="A26" t="s">
        <v>34</v>
      </c>
      <c r="B26" s="14">
        <f>1/(1+$B$9)^B21</f>
        <v>0.9163886954290532</v>
      </c>
      <c r="C26" s="14">
        <f>1/(1+$B$9)^C21</f>
        <v>0.839768241110162</v>
      </c>
      <c r="D26" s="14">
        <f>1/(1+$B$9)^D21</f>
        <v>0.769554122933692</v>
      </c>
      <c r="E26" s="14">
        <f>1/(1+$B$9)^E21</f>
        <v>0.7052106987772552</v>
      </c>
      <c r="F26" s="14">
        <f>1/(1+$B$9)^F21</f>
        <v>0.6462471122550999</v>
      </c>
      <c r="G26" s="14">
        <f>1/(1+$B$9)^G21</f>
        <v>0.5922135481242439</v>
      </c>
      <c r="H26" s="14">
        <f>1/(1+$B$9)^H21</f>
        <v>0.5426978007809867</v>
      </c>
      <c r="I26" s="14">
        <f>1/(1+$B$9)^I21</f>
        <v>0.49732212966990463</v>
      </c>
      <c r="J26" s="14">
        <f>1/(1+$B$9)^J21</f>
        <v>0.4557403776162023</v>
      </c>
      <c r="K26" s="14">
        <f>1/(1+$B$9)^K21</f>
        <v>0.4176353300980557</v>
      </c>
    </row>
    <row r="27" spans="1:11" x14ac:dyDescent="0.25">
      <c r="A27" s="15" t="s">
        <v>35</v>
      </c>
      <c r="B27" s="16">
        <f>B25*B26</f>
        <v>313399196.80498874</v>
      </c>
      <c r="C27" s="16">
        <f>C25*C26</f>
        <v>310974381.10077435</v>
      </c>
      <c r="D27" s="16">
        <f>D25*D26</f>
        <v>306738261.66821456</v>
      </c>
      <c r="E27" s="16">
        <f>E25*E26</f>
        <v>300754711.42938685</v>
      </c>
      <c r="F27" s="16">
        <f>F25*F26</f>
        <v>293117959.6768859</v>
      </c>
      <c r="G27" s="16">
        <f>G25*G26</f>
        <v>283950139.0680219</v>
      </c>
      <c r="H27" s="16">
        <f>H25*H26</f>
        <v>273398030.5504585</v>
      </c>
      <c r="I27" s="16">
        <f>I25*I26</f>
        <v>261629127.36047563</v>
      </c>
      <c r="J27" s="16">
        <f>J25*J26</f>
        <v>248827166.34825787</v>
      </c>
      <c r="K27" s="16">
        <f>K25*K26</f>
        <v>235187294.8083092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15460000000</v>
      </c>
    </row>
    <row r="31" spans="1:2" x14ac:dyDescent="0.25">
      <c r="A31" t="s">
        <v>38</v>
      </c>
      <c r="B31" s="9">
        <f>SUM(B27:K27)</f>
        <v>2827976268.8157735</v>
      </c>
    </row>
    <row r="32" spans="1:2" x14ac:dyDescent="0.25">
      <c r="A32" t="s">
        <v>39</v>
      </c>
      <c r="B32" s="9">
        <f>K24*(1+K23)</f>
        <v>26093469270.767365</v>
      </c>
    </row>
    <row r="33" spans="1:2" x14ac:dyDescent="0.25">
      <c r="A33" t="s">
        <v>40</v>
      </c>
      <c r="B33" s="9">
        <f>(B18-B9)*B32</f>
        <v>577218831.3711807</v>
      </c>
    </row>
    <row r="34" spans="1:2" x14ac:dyDescent="0.25">
      <c r="A34" t="s">
        <v>41</v>
      </c>
      <c r="B34" s="9">
        <f>B33/(B9-B13)</f>
        <v>8714052405.965893</v>
      </c>
    </row>
    <row r="35" spans="1:2" x14ac:dyDescent="0.25">
      <c r="A35" t="s">
        <v>42</v>
      </c>
      <c r="B35" s="9">
        <f>B34*K26</f>
        <v>3639296153.057322</v>
      </c>
    </row>
    <row r="36" spans="1:2" x14ac:dyDescent="0.25">
      <c r="A36" s="15" t="s">
        <v>43</v>
      </c>
      <c r="B36" s="16">
        <f>B30+B31+B35</f>
        <v>21927272421.873096</v>
      </c>
    </row>
    <row r="37" spans="1:2" x14ac:dyDescent="0.25">
      <c r="A37" s="15" t="s">
        <v>44</v>
      </c>
      <c r="B37" s="17">
        <f>B36/B15</f>
        <v>520.9622245870991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410.97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520.9622245870991</v>
      </c>
    </row>
    <row r="43" spans="1:2" x14ac:dyDescent="0.25">
      <c r="A43" s="15" t="s">
        <v>48</v>
      </c>
      <c r="B43" s="21">
        <f>B42/B40-1</f>
        <v>0.26764052020122886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1573000000</v>
      </c>
      <c r="C5" s="9">
        <v>1358000000</v>
      </c>
      <c r="D5" s="9">
        <v>2488000000</v>
      </c>
      <c r="E5" s="9">
        <v>589000000</v>
      </c>
      <c r="F5" s="6" t="s">
        <v>57</v>
      </c>
    </row>
    <row r="6" spans="1:6" x14ac:dyDescent="0.25">
      <c r="A6" t="s">
        <v>37</v>
      </c>
      <c r="B6" s="9">
        <v>15460000000</v>
      </c>
      <c r="C6" s="9">
        <v>13876000000</v>
      </c>
      <c r="D6" s="9">
        <v>13202000000</v>
      </c>
      <c r="E6" s="9">
        <v>8441000000</v>
      </c>
      <c r="F6" s="6" t="s">
        <v>58</v>
      </c>
    </row>
    <row r="7" spans="1:6" x14ac:dyDescent="0.25">
      <c r="A7" t="s">
        <v>59</v>
      </c>
      <c r="B7" s="9">
        <v>335000000</v>
      </c>
      <c r="C7" s="9">
        <v>334000000</v>
      </c>
      <c r="D7" s="9">
        <v>288000000</v>
      </c>
      <c r="E7" s="9">
        <v>255000000</v>
      </c>
      <c r="F7" s="6" t="s">
        <v>60</v>
      </c>
    </row>
    <row r="8" spans="1:6" x14ac:dyDescent="0.25">
      <c r="A8" t="s">
        <v>14</v>
      </c>
      <c r="B8" s="10">
        <v>42089947</v>
      </c>
      <c r="C8" s="10">
        <v>43203272</v>
      </c>
      <c r="D8" s="10">
        <v>41817578</v>
      </c>
      <c r="E8" s="10">
        <v>38800000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0.11336119919285097</v>
      </c>
      <c r="C9" s="8">
        <f>IF(AND(ISNUMBER(C5),N(D6)&gt;0),C5/D6,"")</f>
        <v>0.10286320254506894</v>
      </c>
      <c r="D9" s="8">
        <f>IF(AND(ISNUMBER(D5),N(E6)&gt;0),D5/E6,"")</f>
        <v>0.2947518066579789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0.2129688493324857</v>
      </c>
      <c r="C10" s="8">
        <f>IF(AND(ISNUMBER(C9),N(C5)&gt;0,ISNUMBER(C7)),C7/C5,"")</f>
        <v>0.24594992636229748</v>
      </c>
      <c r="D10" s="8">
        <f>IF(AND(ISNUMBER(D9),N(D5)&gt;0,ISNUMBER(D7)),D7/D5,"")</f>
        <v>0.1157556270096463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