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<sst xmlns="http://schemas.openxmlformats.org/spreadsheetml/2006/main" count="116" uniqueCount="102">
  <si>
    <t>Everest Group, Ltd. (EG)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</si>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</sst>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0.12836140182450917</v>
      </c>
    </row>
    <row r="7" spans="1:2" x14ac:dyDescent="0.25">
      <c r="A7" t="s">
        <v>5</v>
      </c>
      <c r="B7" s="6">
        <v>0.09875251278605092</v>
      </c>
    </row>
    <row r="8" spans="1:2" x14ac:dyDescent="0.25">
      <c r="A8" t="s">
        <v>6</v>
      </c>
      <c r="B8" s="6">
        <v>0.11861891441104239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0.08133180388803987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0.51559</v>
      </c>
      <c r="C19" s="8" t="s">
        <v>19</v>
      </c>
    </row>
    <row r="20" spans="1:2" x14ac:dyDescent="0.25">
      <c r="A20" t="s">
        <v>20</v>
      </c>
      <c r="B20" s="10">
        <f>B17+B19*B18</f>
        <v>0.07833745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14372774912</v>
      </c>
    </row>
    <row r="23" spans="1:2" x14ac:dyDescent="0.25">
      <c r="A23" t="s">
        <v>24</v>
      </c>
      <c r="B23" s="11">
        <v>3589000000</v>
      </c>
    </row>
    <row r="24" spans="1:2" x14ac:dyDescent="0.25">
      <c r="A24" t="s">
        <v>25</v>
      </c>
      <c r="B24" s="10">
        <f>B22/(B22+B23)</f>
        <v>0.8001867845698121</v>
      </c>
    </row>
    <row r="25" spans="1:2" x14ac:dyDescent="0.25">
      <c r="A25" t="s">
        <v>26</v>
      </c>
      <c r="B25" s="10">
        <f>1-B24</f>
        <v>0.19981321543018793</v>
      </c>
    </row>
    <row r="26" spans="1:2" x14ac:dyDescent="0.25">
      <c r="A26" t="s">
        <v>27</v>
      </c>
      <c r="B26" s="12">
        <f>B24*B20+B25*B21*(1-B8)</f>
        <v>0.07148664943166777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17218000000</v>
      </c>
      <c r="C29" s="8" t="s">
        <v>30</v>
      </c>
    </row>
    <row r="30" spans="1:2" x14ac:dyDescent="0.25">
      <c r="A30" t="s">
        <v>31</v>
      </c>
      <c r="B30" s="11">
        <v>-15924000000</v>
      </c>
    </row>
    <row r="31" spans="1:2" x14ac:dyDescent="0.25">
      <c r="A31" t="s">
        <v>32</v>
      </c>
      <c r="B31" s="13">
        <v>42089947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0.12836140182450917</v>
      </c>
      <c r="C5" s="10">
        <f>Assumptions!B6</f>
        <v>0.12836140182450917</v>
      </c>
      <c r="D5" s="10">
        <f>Assumptions!B6</f>
        <v>0.12836140182450917</v>
      </c>
      <c r="E5" s="10">
        <f>Assumptions!B6</f>
        <v>0.12836140182450917</v>
      </c>
      <c r="F5" s="10">
        <f>Assumptions!B6</f>
        <v>0.12836140182450917</v>
      </c>
    </row>
    <row r="6" spans="1:6" x14ac:dyDescent="0.25">
      <c r="A6" t="s">
        <v>43</v>
      </c>
      <c r="B6" s="18">
        <f>Assumptions!B29*(1+B5)</f>
        <v>19428126616.6144</v>
      </c>
      <c r="C6" s="18">
        <f>B6*(1+C5)</f>
        <v>21921948183.947083</v>
      </c>
      <c r="D6" s="18">
        <f>C6*(1+D5)</f>
        <v>24735880183.562782</v>
      </c>
      <c r="E6" s="18">
        <f>D6*(1+E5)</f>
        <v>27911012439.288</v>
      </c>
      <c r="F6" s="18">
        <f>E6*(1+F5)</f>
        <v>31493709122.33632</v>
      </c>
    </row>
    <row r="7" spans="1:6" x14ac:dyDescent="0.25">
      <c r="A7" t="s">
        <v>5</v>
      </c>
      <c r="B7" s="10">
        <f>Assumptions!B7</f>
        <v>0.09875251278605092</v>
      </c>
      <c r="C7" s="10">
        <f>Assumptions!B7</f>
        <v>0.09875251278605092</v>
      </c>
      <c r="D7" s="10">
        <f>Assumptions!B7</f>
        <v>0.09875251278605092</v>
      </c>
      <c r="E7" s="10">
        <f>Assumptions!B7</f>
        <v>0.09875251278605092</v>
      </c>
      <c r="F7" s="10">
        <f>Assumptions!B7</f>
        <v>0.09875251278605092</v>
      </c>
    </row>
    <row r="8" spans="1:6" x14ac:dyDescent="0.25">
      <c r="A8" t="s">
        <v>44</v>
      </c>
      <c r="B8" s="18">
        <f>B6*B7</f>
        <v>1918576322.1162295</v>
      </c>
      <c r="C8" s="18">
        <f>C6*C7</f>
        <v>2164847468.33038</v>
      </c>
      <c r="D8" s="18">
        <f>D6*D7</f>
        <v>2442730324.101507</v>
      </c>
      <c r="E8" s="18">
        <f>E6*E7</f>
        <v>2756282612.7824144</v>
      </c>
      <c r="F8" s="18">
        <f>F6*F7</f>
        <v>3110082912.7836857</v>
      </c>
    </row>
    <row r="9" spans="1:6" x14ac:dyDescent="0.25">
      <c r="A9" t="s">
        <v>45</v>
      </c>
      <c r="B9" s="18">
        <f>B8*(1-Assumptions!B8)</f>
        <v>1690996881.572072</v>
      </c>
      <c r="C9" s="18">
        <f>C8*(1-Assumptions!B8)</f>
        <v>1908055611.771537</v>
      </c>
      <c r="D9" s="18">
        <f>D8*(1-Assumptions!B8)</f>
        <v>2152976304.8576527</v>
      </c>
      <c r="E9" s="18">
        <f>E8*(1-Assumptions!B8)</f>
        <v>2429335361.4441333</v>
      </c>
      <c r="F9" s="18">
        <f>F8*(1-Assumptions!B8)</f>
        <v>2741168253.9409523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-194281266.16614398</v>
      </c>
      <c r="C11" s="18">
        <f>-C6*Assumptions!B10</f>
        <v>-219219481.83947083</v>
      </c>
      <c r="D11" s="18">
        <f>-D6*Assumptions!B10</f>
        <v>-247358801.83562782</v>
      </c>
      <c r="E11" s="18">
        <f>-E6*Assumptions!B10</f>
        <v>-279110124.39287996</v>
      </c>
      <c r="F11" s="18">
        <f>-F6*Assumptions!B10</f>
        <v>-314937091.2233632</v>
      </c>
    </row>
    <row r="12" spans="1:6" x14ac:dyDescent="0.25">
      <c r="A12" t="s">
        <v>48</v>
      </c>
      <c r="B12" s="18">
        <f>-(B6-Assumptions!B29)*Assumptions!B11</f>
        <v>2210126616.614399</v>
      </c>
      <c r="C12" s="18">
        <f>-(C6-B6)*Assumptions!B11</f>
        <v>2493821567.3326836</v>
      </c>
      <c r="D12" s="18">
        <f>-(D6-C6)*Assumptions!B11</f>
        <v>2813931999.6157</v>
      </c>
      <c r="E12" s="18">
        <f>-(E6-D6)*Assumptions!B11</f>
        <v>3175132255.725216</v>
      </c>
      <c r="F12" s="18">
        <f>-(F6-E6)*Assumptions!B11</f>
        <v>3582696683.048321</v>
      </c>
    </row>
    <row r="13" spans="1:6" x14ac:dyDescent="0.25">
      <c r="A13" s="19" t="s">
        <v>49</v>
      </c>
      <c r="B13" s="20">
        <f>B9+B10+B11+B12</f>
        <v>3706842232.020327</v>
      </c>
      <c r="C13" s="20">
        <f>C9+C10+C11+C12</f>
        <v>4182657697.2647495</v>
      </c>
      <c r="D13" s="20">
        <f>D9+D10+D11+D12</f>
        <v>4719549502.637725</v>
      </c>
      <c r="E13" s="20">
        <f>E9+E10+E11+E12</f>
        <v>5325357492.776469</v>
      </c>
      <c r="F13" s="20">
        <f>F9+F10+F11+F12</f>
        <v>6008927845.765909</v>
      </c>
    </row>
    <row r="14" spans="1:6" x14ac:dyDescent="0.25">
      <c r="A14" t="s">
        <v>50</v>
      </c>
      <c r="B14" s="21">
        <f>1/(1+Assumptions!$B$26)^(1-0.5*Assumptions!$B$32)</f>
        <v>0.9660656000923512</v>
      </c>
      <c r="C14" s="21">
        <f>1/(1+Assumptions!$B$26)^(2-0.5*Assumptions!$B$32)</f>
        <v>0.9016123538307889</v>
      </c>
      <c r="D14" s="21">
        <f>1/(1+Assumptions!$B$26)^(3-0.5*Assumptions!$B$32)</f>
        <v>0.8414592513205996</v>
      </c>
      <c r="E14" s="21">
        <f>1/(1+Assumptions!$B$26)^(4-0.5*Assumptions!$B$32)</f>
        <v>0.7853193987689178</v>
      </c>
      <c r="F14" s="21">
        <f>1/(1+Assumptions!$B$26)^(5-0.5*Assumptions!$B$32)</f>
        <v>0.732925043149593</v>
      </c>
    </row>
    <row r="15" spans="1:6" x14ac:dyDescent="0.25">
      <c r="A15" s="19" t="s">
        <v>51</v>
      </c>
      <c r="B15" s="20">
        <f>B13*B14</f>
        <v>3581052765.324388</v>
      </c>
      <c r="C15" s="20">
        <f>C13*C14</f>
        <v>3771135851.699338</v>
      </c>
      <c r="D15" s="20">
        <f>D13*D14</f>
        <v>3971308591.060048</v>
      </c>
      <c r="E15" s="20">
        <f>E13*E14</f>
        <v>4182106544.456768</v>
      </c>
      <c r="F15" s="20">
        <f>F13*F14</f>
        <v>4404093700.64077</v>
      </c>
    </row>
    <row r="17" spans="1:2" x14ac:dyDescent="0.25">
      <c r="A17" s="22" t="s">
        <v>52</v>
      </c>
      <c r="B17" s="23">
        <f>SUM(B15:F15)</f>
        <v>19909697453.181313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6008927845.765909</v>
      </c>
    </row>
    <row r="5" spans="1:2" x14ac:dyDescent="0.25">
      <c r="A5" t="s">
        <v>56</v>
      </c>
      <c r="B5" s="18">
        <f>IF(Assumptions!$B$33=0,B4,B4-Forecast!F11-Forecast!F10-Forecast!F12)</f>
        <v>2741168253.9409523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0.3073828294084639</v>
      </c>
    </row>
    <row r="7" spans="1:2" x14ac:dyDescent="0.25">
      <c r="A7" t="s">
        <v>58</v>
      </c>
      <c r="B7" s="18">
        <f>-MAX(Forecast!F9,0)*B6</f>
        <v>-842588053.7810286</v>
      </c>
    </row>
    <row r="8" spans="1:2" x14ac:dyDescent="0.25">
      <c r="A8" t="s">
        <v>59</v>
      </c>
      <c r="B8" s="18">
        <f>IF(OR(Assumptions!$B$33=0,Assumptions!B12&lt;=0),B5,MAX(B5+B7,0))</f>
        <v>1898580200.1599236</v>
      </c>
    </row>
    <row r="9" spans="1:2" x14ac:dyDescent="0.25">
      <c r="A9" t="s">
        <v>60</v>
      </c>
      <c r="B9" s="18">
        <f>B8*(1+Assumptions!B12)/(Assumptions!B26-Assumptions!B12)</f>
        <v>41862442850.919495</v>
      </c>
    </row>
    <row r="10" spans="1:2" x14ac:dyDescent="0.25">
      <c r="A10" t="s">
        <v>61</v>
      </c>
      <c r="B10" s="18">
        <f>B9/(1+Assumptions!B26)^(5-0.5*Assumptions!B32)</f>
        <v>30682032732.85754</v>
      </c>
    </row>
    <row r="11" spans="1:2" x14ac:dyDescent="0.25">
      <c r="A11" t="s">
        <v>62</v>
      </c>
      <c r="B11" s="18">
        <f>Forecast!B17+B10</f>
        <v>50591730186.03885</v>
      </c>
    </row>
    <row r="12" spans="1:2" x14ac:dyDescent="0.25">
      <c r="A12" t="s">
        <v>63</v>
      </c>
      <c r="B12" s="18">
        <f>-Assumptions!B30</f>
        <v>15924000000</v>
      </c>
    </row>
    <row r="13" spans="1:2" x14ac:dyDescent="0.25">
      <c r="A13" t="s">
        <v>64</v>
      </c>
      <c r="B13" s="18">
        <f>B11+B12</f>
        <v>66515730186.03885</v>
      </c>
    </row>
    <row r="14" spans="1:2" x14ac:dyDescent="0.25">
      <c r="A14" s="19" t="s">
        <v>65</v>
      </c>
      <c r="B14" s="24">
        <f>B13/Assumptions!B31</f>
        <v>1580.3234484006086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3110082912.7836857</v>
      </c>
    </row>
    <row r="18" spans="1:2" x14ac:dyDescent="0.25">
      <c r="A18" t="s">
        <v>60</v>
      </c>
      <c r="B18" s="18">
        <f>B17*Assumptions!B13</f>
        <v>24880663302.269485</v>
      </c>
    </row>
    <row r="19" spans="1:2" x14ac:dyDescent="0.25">
      <c r="A19" t="s">
        <v>61</v>
      </c>
      <c r="B19" s="18">
        <f>B18/(1+Assumptions!B26)^(5-0.5*Assumptions!B32)</f>
        <v>18235661224.406357</v>
      </c>
    </row>
    <row r="20" spans="1:2" x14ac:dyDescent="0.25">
      <c r="A20" t="s">
        <v>62</v>
      </c>
      <c r="B20" s="18">
        <f>Forecast!B17+B19</f>
        <v>38145358677.58767</v>
      </c>
    </row>
    <row r="21" spans="1:2" x14ac:dyDescent="0.25">
      <c r="A21" t="s">
        <v>63</v>
      </c>
      <c r="B21" s="18">
        <f>-Assumptions!B30</f>
        <v>15924000000</v>
      </c>
    </row>
    <row r="22" spans="1:2" x14ac:dyDescent="0.25">
      <c r="A22" t="s">
        <v>64</v>
      </c>
      <c r="B22" s="18">
        <f>B20+B21</f>
        <v>54069358677.58767</v>
      </c>
    </row>
    <row r="23" spans="1:2" x14ac:dyDescent="0.25">
      <c r="A23" s="19" t="s">
        <v>65</v>
      </c>
      <c r="B23" s="25">
        <f>B22/Assumptions!B31</f>
        <v>1284.6145583786947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374.85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1580.3234484006086</v>
      </c>
    </row>
    <row r="29" spans="1:2" x14ac:dyDescent="0.25">
      <c r="A29" s="19" t="s">
        <v>73</v>
      </c>
      <c r="B29" s="12">
        <f>B28/B26-1</f>
        <v>3.2158822152877375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0.051487</v>
      </c>
      <c r="B5" s="31">
        <v>2054.086430592958</v>
      </c>
      <c r="C5" s="31">
        <v>2144.5279431043427</v>
      </c>
      <c r="D5" s="31">
        <v>2267.909164331084</v>
      </c>
      <c r="E5" s="31">
        <v>2447.2251904117934</v>
      </c>
      <c r="F5" s="31">
        <v>2733.365939027646</v>
      </c>
    </row>
    <row r="6" spans="1:6" x14ac:dyDescent="0.25">
      <c r="A6" s="30">
        <v>0.061487</v>
      </c>
      <c r="B6" s="31">
        <v>1749.7102169872028</v>
      </c>
      <c r="C6" s="31">
        <v>1786.2036245757456</v>
      </c>
      <c r="D6" s="31">
        <v>1831.8598834561096</v>
      </c>
      <c r="E6" s="31">
        <v>1891.0440576031856</v>
      </c>
      <c r="F6" s="31">
        <v>1971.4172158054603</v>
      </c>
    </row>
    <row r="7" spans="1:6" x14ac:dyDescent="0.25">
      <c r="A7" s="30">
        <v>0.071487</v>
      </c>
      <c r="B7" s="31">
        <v>1550.8716056310845</v>
      </c>
      <c r="C7" s="31">
        <v>1564.4492862317925</v>
      </c>
      <c r="D7" s="32">
        <v>1580.3164749816347</v>
      </c>
      <c r="E7" s="31">
        <v>1599.3009642550182</v>
      </c>
      <c r="F7" s="31">
        <v>1622.6842928973704</v>
      </c>
    </row>
    <row r="8" spans="1:6" x14ac:dyDescent="0.25">
      <c r="A8" s="30">
        <v>0.081487</v>
      </c>
      <c r="B8" s="31">
        <v>1410.3127173648943</v>
      </c>
      <c r="C8" s="31">
        <v>1413.121661646107</v>
      </c>
      <c r="D8" s="31">
        <v>1415.9306059273192</v>
      </c>
      <c r="E8" s="31">
        <v>1418.739550208532</v>
      </c>
      <c r="F8" s="31">
        <v>1421.5484944897444</v>
      </c>
    </row>
    <row r="9" spans="1:6" x14ac:dyDescent="0.25">
      <c r="A9" s="30">
        <v>0.091487</v>
      </c>
      <c r="B9" s="31">
        <v>1316.5612270202084</v>
      </c>
      <c r="C9" s="31">
        <v>1318.9616312241697</v>
      </c>
      <c r="D9" s="31">
        <v>1321.3620354281309</v>
      </c>
      <c r="E9" s="31">
        <v>1323.762439632092</v>
      </c>
      <c r="F9" s="31">
        <v>1326.1628438360533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17218000000</v>
      </c>
      <c r="C5" s="18">
        <v>17076000000</v>
      </c>
      <c r="D5" s="18">
        <v>14464000000</v>
      </c>
      <c r="E5" s="18">
        <v>11985000000</v>
      </c>
      <c r="F5" s="8" t="s">
        <v>84</v>
      </c>
    </row>
    <row r="6" spans="1:6" x14ac:dyDescent="0.25">
      <c r="A6" t="s">
        <v>44</v>
      </c>
      <c r="B6" s="18">
        <v>1887000000</v>
      </c>
      <c r="C6" s="18">
        <v>1493000000</v>
      </c>
      <c r="D6" s="18">
        <v>2154000000</v>
      </c>
      <c r="E6" s="18">
        <v>588000000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85</v>
      </c>
    </row>
    <row r="8" spans="1:6" x14ac:dyDescent="0.25">
      <c r="A8" t="s">
        <v>87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88</v>
      </c>
      <c r="B9" s="18">
        <v>-1243000000</v>
      </c>
      <c r="C9" s="18">
        <v>-3543000000</v>
      </c>
      <c r="D9" s="18">
        <v>-1655000000</v>
      </c>
      <c r="E9" s="18">
        <v>-2364000000</v>
      </c>
      <c r="F9" s="8" t="s">
        <v>89</v>
      </c>
    </row>
    <row r="10" spans="1:6" x14ac:dyDescent="0.25">
      <c r="A10" t="s">
        <v>90</v>
      </c>
      <c r="B10" s="18">
        <v>3589000000</v>
      </c>
      <c r="C10" s="18">
        <v>3587000000</v>
      </c>
      <c r="D10" s="18">
        <v>3386000000</v>
      </c>
      <c r="E10" s="18">
        <v>3084000000</v>
      </c>
      <c r="F10" s="8" t="s">
        <v>91</v>
      </c>
    </row>
    <row r="11" spans="1:6" x14ac:dyDescent="0.25">
      <c r="A11" t="s">
        <v>92</v>
      </c>
      <c r="B11" s="18">
        <v>19513000000</v>
      </c>
      <c r="C11" s="18">
        <v>20438000000</v>
      </c>
      <c r="D11" s="18">
        <v>16581000000</v>
      </c>
      <c r="E11" s="18">
        <v>11829000000</v>
      </c>
      <c r="F11" s="8" t="s">
        <v>93</v>
      </c>
    </row>
    <row r="12" spans="1:6" x14ac:dyDescent="0.25">
      <c r="A12" t="s">
        <v>32</v>
      </c>
      <c r="B12" s="34">
        <v>42089947</v>
      </c>
      <c r="C12" s="34">
        <v>43203272</v>
      </c>
      <c r="D12" s="34">
        <v>41817578</v>
      </c>
      <c r="E12" s="34">
        <v>38800000</v>
      </c>
      <c r="F12" s="8" t="s">
        <v>94</v>
      </c>
    </row>
    <row r="15" spans="1:1" x14ac:dyDescent="0.25">
      <c r="A15" s="19" t="s">
        <v>95</v>
      </c>
    </row>
    <row r="16" ht="54" customHeight="1" spans="1:6" x14ac:dyDescent="0.25">
      <c r="A16" s="35" t="s">
        <v>96</v>
      </c>
      <c r="B16" s="35"/>
      <c r="C16" s="35"/>
      <c r="D16" s="35"/>
      <c r="E16" s="35"/>
      <c r="F16" s="35"/>
    </row>
    <row r="17" ht="22" customHeight="1" spans="1:6" x14ac:dyDescent="0.25">
      <c r="A17" s="35" t="s">
        <v>97</v>
      </c>
      <c r="B17" s="35"/>
      <c r="C17" s="35"/>
      <c r="D17" s="35"/>
      <c r="E17" s="35"/>
      <c r="F17" s="35"/>
    </row>
    <row r="18" ht="86" customHeight="1" spans="1:6" x14ac:dyDescent="0.25">
      <c r="A18" s="35" t="s">
        <v>98</v>
      </c>
      <c r="B18" s="35"/>
      <c r="C18" s="35"/>
      <c r="D18" s="35"/>
      <c r="E18" s="35"/>
      <c r="F18" s="35"/>
    </row>
    <row r="19" ht="54" customHeight="1" spans="1:6" x14ac:dyDescent="0.25">
      <c r="A19" s="35" t="s">
        <v>99</v>
      </c>
      <c r="B19" s="35"/>
      <c r="C19" s="35"/>
      <c r="D19" s="35"/>
      <c r="E19" s="35"/>
      <c r="F19" s="35"/>
    </row>
    <row r="20" ht="22" customHeight="1" spans="1:6" x14ac:dyDescent="0.25">
      <c r="A20" s="35" t="s">
        <v>100</v>
      </c>
      <c r="B20" s="35"/>
      <c r="C20" s="35"/>
      <c r="D20" s="35"/>
      <c r="E20" s="35"/>
      <c r="F20" s="35"/>
    </row>
    <row r="22" spans="1:1" x14ac:dyDescent="0.25">
      <c r="A22" s="36" t="s">
        <v>101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