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<sst xmlns="http://schemas.openxmlformats.org/spreadsheetml/2006/main" count="114" uniqueCount="102">
  <si>
    <t>Eicher Motors Limited (EICHERMOT.NS)</t>
  </si>
  <si>
    <t>DCF Studio - Base case</t>
  </si>
  <si>
    <t>Blue figures on a cream fill are inputs. Every other figure is a formula - change an input and the model reprices. Currency figures are INR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</si>
  <si>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</si>
  <si>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</si>
  <si>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</si>
  <si>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</si>
  <si>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</si>
  <si>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</si>
  <si>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</si>
  <si>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</si>
  <si>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</si>
  <si>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</si>
  <si>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</si>
  <si>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</si>
  <si>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</si>
  <si>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INR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</si>
  <si>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</si>
  <si>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</si>
  <si>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</si>
  <si>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</si>
  <si>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</si>
  <si>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</si>
  <si>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(INR m)</t>
  </si>
  <si>
    <t>Total debt (INR m)</t>
  </si>
  <si>
    <t>Equity weight</t>
  </si>
  <si>
    <t>Debt weight</t>
  </si>
  <si>
    <t>WACC</t>
  </si>
  <si>
    <t>Base year</t>
  </si>
  <si>
    <t>Revenue, last reported year (INR m)</t>
  </si>
  <si>
    <t>Fiscal year ended 2026-03-31</t>
  </si>
  <si>
    <t>Net debt (INR m)</t>
  </si>
  <si>
    <t>Diluted shares</t>
  </si>
  <si>
    <t>Mid-year discounting (1 = yes, 0 = no)</t>
  </si>
  <si>
    <t>Terminal year on a steady-state footing (1 = yes, 0 = no)</t>
  </si>
  <si>
    <t>Forecast cashflows (INR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</si>
  <si>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</si>
  <si>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</si>
  <si>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</si>
  <si>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</si>
  <si>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</si>
  <si>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</si>
  <si>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</si>
  <si>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</si>
  <si>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</si>
  <si>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</si>
  <si>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</si>
  <si>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</si>
  <si>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</si>
  <si>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</si>
  <si>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</si>
  <si>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</si>
  <si>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</si>
  <si>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(INR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</si>
  <si>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</si>
  <si>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</si>
  <si>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</si>
  <si>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</si>
  <si>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</si>
  <si>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</si>
  <si>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</si>
  <si>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</si>
  <si>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</si>
  <si>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</si>
  <si>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</si>
  <si>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</si>
  <si>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</si>
  <si>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</si>
  <si>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</si>
  <si>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(INR)</t>
  </si>
  <si>
    <t>Conversion, INR to INR</t>
  </si>
  <si>
    <t>Same currency, no conversion</t>
  </si>
  <si>
    <t>Value per share (INR)</t>
  </si>
  <si>
    <t>Implied upside</t>
  </si>
  <si>
    <t>Value per share (INR)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</si>
  <si>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</si>
  <si>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(INR m, except shares)</t>
  </si>
  <si>
    <t>What the model was built from. "derived" means the figure was not reported and was computed - the note says how.</t>
  </si>
  <si>
    <t>Fiscal year end</t>
  </si>
  <si>
    <t>2026-03-31</t>
  </si>
  <si>
    <t>2025-03-31</t>
  </si>
  <si>
    <t>2024-03-31</t>
  </si>
  <si>
    <t>2023-03-31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</si>
  <si>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</si>
  <si>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</si>
  <si>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</si>
  <si>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</si>
  <si>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</si>
  <si>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</si>
  <si>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</si>
  <si>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</si>
  <si>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</si>
  <si>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</si>
  <si>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</si>
  <si>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</si>
  <si>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</si>
  <si>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</si>
  <si>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</si>
  <si>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Capital expenditure runs at 5.3% of revenue against depreciation of 3.7%. A perpetuity has to be a steady state, so the terminal year uses maintenance capex at depreciation and then charges the reinvestment terminal growth requires (g/ROIC of NOPAT). The bridge is shown under Terminal Value.</t>
  </si>
  <si>
    <t>Note: Risk-free rate is an assumption: INR assumption - no free live source available for this market.</t>
  </si>
  <si>
    <t>Current EV/EBITDA of 34.6x sits outside a defensible 3-20x band, so the exit multiple is capped at 20.0x. A multiple that far out usually means EBITDA is the wrong denominator for this business.</t>
  </si>
  <si>
    <t>Data: Yahoo Finance. Risk-free rate: INR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</si>
</sst>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0.174675251484967</v>
      </c>
    </row>
    <row r="7" spans="1:2" x14ac:dyDescent="0.25">
      <c r="A7" t="s">
        <v>5</v>
      </c>
      <c r="B7" s="6">
        <v>0.21868562840475975</v>
      </c>
    </row>
    <row r="8" spans="1:2" x14ac:dyDescent="0.25">
      <c r="A8" t="s">
        <v>6</v>
      </c>
      <c r="B8" s="6">
        <v>0.2271530661010987</v>
      </c>
    </row>
    <row r="9" spans="1:2" x14ac:dyDescent="0.25">
      <c r="A9" t="s">
        <v>7</v>
      </c>
      <c r="B9" s="6">
        <v>0.03746177640210378</v>
      </c>
    </row>
    <row r="10" spans="1:2" x14ac:dyDescent="0.25">
      <c r="A10" t="s">
        <v>8</v>
      </c>
      <c r="B10" s="6">
        <v>0.05253205753867014</v>
      </c>
    </row>
    <row r="11" spans="1:2" x14ac:dyDescent="0.25">
      <c r="A11" t="s">
        <v>9</v>
      </c>
      <c r="B11" s="6">
        <v>-0.09158532933482048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6">
        <v>0.15079558940506083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0.068</v>
      </c>
      <c r="C17" s="8" t="s">
        <v>16</v>
      </c>
    </row>
    <row r="18" spans="1:2" x14ac:dyDescent="0.25">
      <c r="A18" t="s">
        <v>17</v>
      </c>
      <c r="B18" s="6">
        <v>0.08</v>
      </c>
    </row>
    <row r="19" spans="1:3" x14ac:dyDescent="0.25">
      <c r="A19" t="s">
        <v>18</v>
      </c>
      <c r="B19" s="9">
        <v>0.48007999999999995</v>
      </c>
      <c r="C19" s="8" t="s">
        <v>19</v>
      </c>
    </row>
    <row r="20" spans="1:2" x14ac:dyDescent="0.25">
      <c r="A20" t="s">
        <v>20</v>
      </c>
      <c r="B20" s="10">
        <f>B17+B19*B18</f>
        <v>0.10640640000000001</v>
      </c>
    </row>
    <row r="21" spans="1:3" x14ac:dyDescent="0.25">
      <c r="A21" t="s">
        <v>21</v>
      </c>
      <c r="B21" s="6">
        <v>0.14716895728746604</v>
      </c>
      <c r="C21" s="8" t="s">
        <v>22</v>
      </c>
    </row>
    <row r="22" spans="1:2" x14ac:dyDescent="0.25">
      <c r="A22" t="s">
        <v>23</v>
      </c>
      <c r="B22" s="11">
        <v>2063305015296</v>
      </c>
    </row>
    <row r="23" spans="1:2" x14ac:dyDescent="0.25">
      <c r="A23" t="s">
        <v>24</v>
      </c>
      <c r="B23" s="11">
        <v>5139500000</v>
      </c>
    </row>
    <row r="24" spans="1:2" x14ac:dyDescent="0.25">
      <c r="A24" t="s">
        <v>25</v>
      </c>
      <c r="B24" s="10">
        <f>B22/(B22+B23)</f>
        <v>0.9975152826377532</v>
      </c>
    </row>
    <row r="25" spans="1:2" x14ac:dyDescent="0.25">
      <c r="A25" t="s">
        <v>26</v>
      </c>
      <c r="B25" s="10">
        <f>1-B24</f>
        <v>0.0024847173622467578</v>
      </c>
    </row>
    <row r="26" spans="1:2" x14ac:dyDescent="0.25">
      <c r="A26" t="s">
        <v>27</v>
      </c>
      <c r="B26" s="12">
        <f>B24*B20+B25*B21*(1-B8)</f>
        <v>0.10642461963085927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229775700000</v>
      </c>
      <c r="C29" s="8" t="s">
        <v>30</v>
      </c>
    </row>
    <row r="30" spans="1:2" x14ac:dyDescent="0.25">
      <c r="A30" t="s">
        <v>31</v>
      </c>
      <c r="B30" s="11">
        <v>-55658000000</v>
      </c>
    </row>
    <row r="31" spans="1:2" x14ac:dyDescent="0.25">
      <c r="A31" t="s">
        <v>32</v>
      </c>
      <c r="B31" s="13">
        <v>274763316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0.174675251484967</v>
      </c>
      <c r="C5" s="10">
        <f>Assumptions!B6</f>
        <v>0.174675251484967</v>
      </c>
      <c r="D5" s="10">
        <f>Assumptions!B6</f>
        <v>0.174675251484967</v>
      </c>
      <c r="E5" s="10">
        <f>Assumptions!B6</f>
        <v>0.174675251484967</v>
      </c>
      <c r="F5" s="10">
        <f>Assumptions!B6</f>
        <v>0.174675251484967</v>
      </c>
    </row>
    <row r="6" spans="1:6" x14ac:dyDescent="0.25">
      <c r="A6" t="s">
        <v>43</v>
      </c>
      <c r="B6" s="18">
        <f>Assumptions!B29*(1+B5)</f>
        <v>269911828182.63434</v>
      </c>
      <c r="C6" s="18">
        <f>B6*(1+C5)</f>
        <v>317058744649.2032</v>
      </c>
      <c r="D6" s="18">
        <f>C6*(1+D5)</f>
        <v>372441060606.31067</v>
      </c>
      <c r="E6" s="18">
        <f>D6*(1+E5)</f>
        <v>437497296531.04584</v>
      </c>
      <c r="F6" s="18">
        <f>E6*(1+F5)</f>
        <v>513917246826.5994</v>
      </c>
    </row>
    <row r="7" spans="1:6" x14ac:dyDescent="0.25">
      <c r="A7" t="s">
        <v>5</v>
      </c>
      <c r="B7" s="10">
        <f>Assumptions!B7</f>
        <v>0.21868562840475975</v>
      </c>
      <c r="C7" s="10">
        <f>Assumptions!B7</f>
        <v>0.21868562840475975</v>
      </c>
      <c r="D7" s="10">
        <f>Assumptions!B7</f>
        <v>0.21868562840475975</v>
      </c>
      <c r="E7" s="10">
        <f>Assumptions!B7</f>
        <v>0.21868562840475975</v>
      </c>
      <c r="F7" s="10">
        <f>Assumptions!B7</f>
        <v>0.21868562840475975</v>
      </c>
    </row>
    <row r="8" spans="1:6" x14ac:dyDescent="0.25">
      <c r="A8" t="s">
        <v>44</v>
      </c>
      <c r="B8" s="18">
        <f>B6*B7</f>
        <v>59025837759.99693</v>
      </c>
      <c r="C8" s="18">
        <f>C6*C7</f>
        <v>69336190814.83525</v>
      </c>
      <c r="D8" s="18">
        <f>D6*D7</f>
        <v>81447507382.42625</v>
      </c>
      <c r="E8" s="18">
        <f>E6*E7</f>
        <v>95674371217.27527</v>
      </c>
      <c r="F8" s="18">
        <f>F6*F7</f>
        <v>112386316070.31892</v>
      </c>
    </row>
    <row r="9" spans="1:6" x14ac:dyDescent="0.25">
      <c r="A9" t="s">
        <v>45</v>
      </c>
      <c r="B9" s="18">
        <f>B8*(1-Assumptions!B8)</f>
        <v>45617937733.62762</v>
      </c>
      <c r="C9" s="18">
        <f>C8*(1-Assumptions!B8)</f>
        <v>53586262479.47459</v>
      </c>
      <c r="D9" s="18">
        <f>D8*(1-Assumptions!B8)</f>
        <v>62946456354.216255</v>
      </c>
      <c r="E9" s="18">
        <f>E8*(1-Assumptions!B8)</f>
        <v>73941644447.97649</v>
      </c>
      <c r="F9" s="18">
        <f>F8*(1-Assumptions!B8)</f>
        <v>86857419787.1388</v>
      </c>
    </row>
    <row r="10" spans="1:6" x14ac:dyDescent="0.25">
      <c r="A10" t="s">
        <v>46</v>
      </c>
      <c r="B10" s="18">
        <f>B6*Assumptions!B9</f>
        <v>10111376555.660902</v>
      </c>
      <c r="C10" s="18">
        <f>C6*Assumptions!B9</f>
        <v>11877583798.380169</v>
      </c>
      <c r="D10" s="18">
        <f>D6*Assumptions!B9</f>
        <v>13952303735.395994</v>
      </c>
      <c r="E10" s="18">
        <f>E6*Assumptions!B9</f>
        <v>16389425899.170935</v>
      </c>
      <c r="F10" s="18">
        <f>F6*Assumptions!B9</f>
        <v>19252252989.80285</v>
      </c>
    </row>
    <row r="11" spans="1:6" x14ac:dyDescent="0.25">
      <c r="A11" t="s">
        <v>47</v>
      </c>
      <c r="B11" s="18">
        <f>-B6*Assumptions!B10</f>
        <v>-14179023688.457796</v>
      </c>
      <c r="C11" s="18">
        <f>-C6*Assumptions!B10</f>
        <v>-16655748217.050467</v>
      </c>
      <c r="D11" s="18">
        <f>-D6*Assumptions!B10</f>
        <v>-19565095225.534046</v>
      </c>
      <c r="E11" s="18">
        <f>-E6*Assumptions!B10</f>
        <v>-22982633154.381535</v>
      </c>
      <c r="F11" s="18">
        <f>-F6*Assumptions!B10</f>
        <v>-26997130380.409866</v>
      </c>
    </row>
    <row r="12" spans="1:6" x14ac:dyDescent="0.25">
      <c r="A12" t="s">
        <v>48</v>
      </c>
      <c r="B12" s="18">
        <f>-(B6-Assumptions!B29)*Assumptions!B11</f>
        <v>3675880517.8311357</v>
      </c>
      <c r="C12" s="18">
        <f>-(C6-B6)*Assumptions!B11</f>
        <v>4317965871.711979</v>
      </c>
      <c r="D12" s="18">
        <f>-(D6-C6)*Assumptions!B11</f>
        <v>5072207646.256773</v>
      </c>
      <c r="E12" s="18">
        <f>-(E6-D6)*Assumptions!B11</f>
        <v>5958196792.45065</v>
      </c>
      <c r="F12" s="18">
        <f>-(F6-E6)*Assumptions!B11</f>
        <v>6998946315.568888</v>
      </c>
    </row>
    <row r="13" spans="1:6" x14ac:dyDescent="0.25">
      <c r="A13" s="19" t="s">
        <v>49</v>
      </c>
      <c r="B13" s="20">
        <f>B9+B10+B11+B12</f>
        <v>45226171118.661865</v>
      </c>
      <c r="C13" s="20">
        <f>C9+C10+C11+C12</f>
        <v>53126063932.516266</v>
      </c>
      <c r="D13" s="20">
        <f>D9+D10+D11+D12</f>
        <v>62405872510.33498</v>
      </c>
      <c r="E13" s="20">
        <f>E9+E10+E11+E12</f>
        <v>73306633985.21654</v>
      </c>
      <c r="F13" s="20">
        <f>F9+F10+F11+F12</f>
        <v>86111488712.10068</v>
      </c>
    </row>
    <row r="14" spans="1:6" x14ac:dyDescent="0.25">
      <c r="A14" t="s">
        <v>50</v>
      </c>
      <c r="B14" s="21">
        <f>1/(1+Assumptions!$B$26)^(1-0.5*Assumptions!$B$32)</f>
        <v>0.950690347638077</v>
      </c>
      <c r="C14" s="21">
        <f>1/(1+Assumptions!$B$26)^(2-0.5*Assumptions!$B$32)</f>
        <v>0.8592454748117042</v>
      </c>
      <c r="D14" s="21">
        <f>1/(1+Assumptions!$B$26)^(3-0.5*Assumptions!$B$32)</f>
        <v>0.7765964888763751</v>
      </c>
      <c r="E14" s="21">
        <f>1/(1+Assumptions!$B$26)^(4-0.5*Assumptions!$B$32)</f>
        <v>0.7018973322696616</v>
      </c>
      <c r="F14" s="21">
        <f>1/(1+Assumptions!$B$26)^(5-0.5*Assumptions!$B$32)</f>
        <v>0.6343833278979621</v>
      </c>
    </row>
    <row r="15" spans="1:6" x14ac:dyDescent="0.25">
      <c r="A15" s="19" t="s">
        <v>51</v>
      </c>
      <c r="B15" s="20">
        <f>B13*B14</f>
        <v>42996084343.13981</v>
      </c>
      <c r="C15" s="20">
        <f>C13*C14</f>
        <v>45648330028.57189</v>
      </c>
      <c r="D15" s="20">
        <f>D13*D14</f>
        <v>48464181476.79284</v>
      </c>
      <c r="E15" s="20">
        <f>E13*E14</f>
        <v>51453730831.892</v>
      </c>
      <c r="F15" s="20">
        <f>F13*F14</f>
        <v>54627692779.43023</v>
      </c>
    </row>
    <row r="17" spans="1:2" x14ac:dyDescent="0.25">
      <c r="A17" s="22" t="s">
        <v>52</v>
      </c>
      <c r="B17" s="23">
        <f>SUM(B15:F15)</f>
        <v>243190019459.82678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86111488712.10068</v>
      </c>
    </row>
    <row r="5" spans="1:2" x14ac:dyDescent="0.25">
      <c r="A5" t="s">
        <v>56</v>
      </c>
      <c r="B5" s="18">
        <f>IF(Assumptions!$B$33=0,B4,B4-Forecast!F11-Forecast!F10-Forecast!F12)</f>
        <v>89867778207.14278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0.16578734231308345</v>
      </c>
    </row>
    <row r="7" spans="1:2" x14ac:dyDescent="0.25">
      <c r="A7" t="s">
        <v>58</v>
      </c>
      <c r="B7" s="18">
        <f>-MAX(Forecast!F9,0)*B6</f>
        <v>-14898940108.54384</v>
      </c>
    </row>
    <row r="8" spans="1:2" x14ac:dyDescent="0.25">
      <c r="A8" t="s">
        <v>59</v>
      </c>
      <c r="B8" s="18">
        <f>IF(OR(Assumptions!$B$33=0,Assumptions!B12&lt;=0),B5,MAX(B5+B7,0))</f>
        <v>74968838098.59894</v>
      </c>
    </row>
    <row r="9" spans="1:2" x14ac:dyDescent="0.25">
      <c r="A9" t="s">
        <v>60</v>
      </c>
      <c r="B9" s="18">
        <f>B8*(1+Assumptions!B12)/(Assumptions!B26-Assumptions!B12)</f>
        <v>943732490239.8564</v>
      </c>
    </row>
    <row r="10" spans="1:2" x14ac:dyDescent="0.25">
      <c r="A10" t="s">
        <v>61</v>
      </c>
      <c r="B10" s="18">
        <f>B9/(1+Assumptions!B26)^(5-0.5*Assumptions!B32)</f>
        <v>598688157803.7913</v>
      </c>
    </row>
    <row r="11" spans="1:2" x14ac:dyDescent="0.25">
      <c r="A11" t="s">
        <v>62</v>
      </c>
      <c r="B11" s="18">
        <f>Forecast!B17+B10</f>
        <v>841878177263.618</v>
      </c>
    </row>
    <row r="12" spans="1:2" x14ac:dyDescent="0.25">
      <c r="A12" t="s">
        <v>63</v>
      </c>
      <c r="B12" s="18">
        <f>-Assumptions!B30</f>
        <v>55658000000</v>
      </c>
    </row>
    <row r="13" spans="1:2" x14ac:dyDescent="0.25">
      <c r="A13" t="s">
        <v>64</v>
      </c>
      <c r="B13" s="18">
        <f>B11+B12</f>
        <v>897536177263.618</v>
      </c>
    </row>
    <row r="14" spans="1:2" x14ac:dyDescent="0.25">
      <c r="A14" s="19" t="s">
        <v>65</v>
      </c>
      <c r="B14" s="24">
        <f>B13/Assumptions!B31</f>
        <v>3266.5793612114435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131638569060.12177</v>
      </c>
    </row>
    <row r="18" spans="1:2" x14ac:dyDescent="0.25">
      <c r="A18" t="s">
        <v>60</v>
      </c>
      <c r="B18" s="18">
        <f>B17*Assumptions!B13</f>
        <v>2632771381202.4355</v>
      </c>
    </row>
    <row r="19" spans="1:2" x14ac:dyDescent="0.25">
      <c r="A19" t="s">
        <v>61</v>
      </c>
      <c r="B19" s="18">
        <f>B18/(1+Assumptions!B26)^(5-0.5*Assumptions!B32)</f>
        <v>1670186270401.7153</v>
      </c>
    </row>
    <row r="20" spans="1:2" x14ac:dyDescent="0.25">
      <c r="A20" t="s">
        <v>62</v>
      </c>
      <c r="B20" s="18">
        <f>Forecast!B17+B19</f>
        <v>1913376289861.542</v>
      </c>
    </row>
    <row r="21" spans="1:2" x14ac:dyDescent="0.25">
      <c r="A21" t="s">
        <v>63</v>
      </c>
      <c r="B21" s="18">
        <f>-Assumptions!B30</f>
        <v>55658000000</v>
      </c>
    </row>
    <row r="22" spans="1:2" x14ac:dyDescent="0.25">
      <c r="A22" t="s">
        <v>64</v>
      </c>
      <c r="B22" s="18">
        <f>B20+B21</f>
        <v>1969034289861.542</v>
      </c>
    </row>
    <row r="23" spans="1:2" x14ac:dyDescent="0.25">
      <c r="A23" s="19" t="s">
        <v>65</v>
      </c>
      <c r="B23" s="25">
        <f>B22/Assumptions!B31</f>
        <v>7166.292496854063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7516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3266.5793612114435</v>
      </c>
    </row>
    <row r="29" spans="1:2" x14ac:dyDescent="0.25">
      <c r="A29" s="19" t="s">
        <v>73</v>
      </c>
      <c r="B29" s="12">
        <f>B28/B26-1</f>
        <v>-0.5653832675344008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0.086425</v>
      </c>
      <c r="B5" s="31">
        <v>4013.715675408909</v>
      </c>
      <c r="C5" s="31">
        <v>4131.27035093591</v>
      </c>
      <c r="D5" s="31">
        <v>4266.747089557844</v>
      </c>
      <c r="E5" s="31">
        <v>4424.91028554009</v>
      </c>
      <c r="F5" s="31">
        <v>4612.377281817108</v>
      </c>
    </row>
    <row r="6" spans="1:6" x14ac:dyDescent="0.25">
      <c r="A6" s="30">
        <v>0.096425</v>
      </c>
      <c r="B6" s="31">
        <v>3535.3372153531027</v>
      </c>
      <c r="C6" s="31">
        <v>3611.1587973678556</v>
      </c>
      <c r="D6" s="31">
        <v>3696.592538359766</v>
      </c>
      <c r="E6" s="31">
        <v>3793.809042538957</v>
      </c>
      <c r="F6" s="31">
        <v>3905.685663553116</v>
      </c>
    </row>
    <row r="7" spans="1:6" x14ac:dyDescent="0.25">
      <c r="A7" s="30">
        <v>0.106425</v>
      </c>
      <c r="B7" s="31">
        <v>3162.0646499673417</v>
      </c>
      <c r="C7" s="31">
        <v>3211.689992741152</v>
      </c>
      <c r="D7" s="32">
        <v>3266.565014695393</v>
      </c>
      <c r="E7" s="31">
        <v>3327.7200748448713</v>
      </c>
      <c r="F7" s="31">
        <v>3396.4740471542846</v>
      </c>
    </row>
    <row r="8" spans="1:6" x14ac:dyDescent="0.25">
      <c r="A8" s="30">
        <v>0.116425</v>
      </c>
      <c r="B8" s="31">
        <v>2862.7937876246406</v>
      </c>
      <c r="C8" s="31">
        <v>2895.3230427423628</v>
      </c>
      <c r="D8" s="31">
        <v>2930.6876730319827</v>
      </c>
      <c r="E8" s="31">
        <v>2969.379788734502</v>
      </c>
      <c r="F8" s="31">
        <v>3012.012374574435</v>
      </c>
    </row>
    <row r="9" spans="1:6" x14ac:dyDescent="0.25">
      <c r="A9" s="30">
        <v>0.126425</v>
      </c>
      <c r="B9" s="31">
        <v>2617.586991852731</v>
      </c>
      <c r="C9" s="31">
        <v>2638.626889225153</v>
      </c>
      <c r="D9" s="31">
        <v>2661.115436206005</v>
      </c>
      <c r="E9" s="31">
        <v>2685.277986636372</v>
      </c>
      <c r="F9" s="31">
        <v>2711.3891924357795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229775700000</v>
      </c>
      <c r="C5" s="18">
        <v>185382100000</v>
      </c>
      <c r="D5" s="18">
        <v>162340200000</v>
      </c>
      <c r="E5" s="18">
        <v>141759000000</v>
      </c>
      <c r="F5" s="8" t="s">
        <v>84</v>
      </c>
    </row>
    <row r="6" spans="1:6" x14ac:dyDescent="0.25">
      <c r="A6" t="s">
        <v>44</v>
      </c>
      <c r="B6" s="18">
        <v>49560000000</v>
      </c>
      <c r="C6" s="18">
        <v>40033700000</v>
      </c>
      <c r="D6" s="18">
        <v>37975500000</v>
      </c>
      <c r="E6" s="18">
        <v>29652600000</v>
      </c>
      <c r="F6" s="8" t="s">
        <v>85</v>
      </c>
    </row>
    <row r="7" spans="1:6" x14ac:dyDescent="0.25">
      <c r="A7" t="s">
        <v>86</v>
      </c>
      <c r="B7" s="18">
        <v>8403700000</v>
      </c>
      <c r="C7" s="18">
        <v>7293300000</v>
      </c>
      <c r="D7" s="18">
        <v>5976000000</v>
      </c>
      <c r="E7" s="18">
        <v>5262100000</v>
      </c>
      <c r="F7" s="8" t="s">
        <v>87</v>
      </c>
    </row>
    <row r="8" spans="1:6" x14ac:dyDescent="0.25">
      <c r="A8" t="s">
        <v>88</v>
      </c>
      <c r="B8" s="18">
        <v>12752600000</v>
      </c>
      <c r="C8" s="18">
        <v>10393300000</v>
      </c>
      <c r="D8" s="18">
        <v>8185100000</v>
      </c>
      <c r="E8" s="18">
        <v>6824900000</v>
      </c>
      <c r="F8" s="8" t="s">
        <v>89</v>
      </c>
    </row>
    <row r="9" spans="1:6" x14ac:dyDescent="0.25">
      <c r="A9" t="s">
        <v>90</v>
      </c>
      <c r="B9" s="18">
        <v>-2778900000</v>
      </c>
      <c r="C9" s="18">
        <v>-2110300000</v>
      </c>
      <c r="D9" s="18">
        <v>-3879500000</v>
      </c>
      <c r="E9" s="18">
        <v>-656700000</v>
      </c>
      <c r="F9" s="8" t="s">
        <v>91</v>
      </c>
    </row>
    <row r="10" spans="1:6" x14ac:dyDescent="0.25">
      <c r="A10" t="s">
        <v>92</v>
      </c>
      <c r="B10" s="18">
        <v>5139500000</v>
      </c>
      <c r="C10" s="18">
        <v>4581300000</v>
      </c>
      <c r="D10" s="18">
        <v>4194400000</v>
      </c>
      <c r="E10" s="18">
        <v>2884100000</v>
      </c>
      <c r="F10" s="8" t="s">
        <v>93</v>
      </c>
    </row>
    <row r="11" spans="1:6" x14ac:dyDescent="0.25">
      <c r="A11" t="s">
        <v>94</v>
      </c>
      <c r="B11" s="18">
        <v>60797500000</v>
      </c>
      <c r="C11" s="18">
        <v>39218300000</v>
      </c>
      <c r="D11" s="18">
        <v>14584400000</v>
      </c>
      <c r="E11" s="18">
        <v>10495900000</v>
      </c>
      <c r="F11" s="8" t="s">
        <v>95</v>
      </c>
    </row>
    <row r="12" spans="1:6" x14ac:dyDescent="0.25">
      <c r="A12" t="s">
        <v>32</v>
      </c>
      <c r="B12" s="34">
        <v>274763316</v>
      </c>
      <c r="C12" s="34">
        <v>274662263</v>
      </c>
      <c r="D12" s="34">
        <v>274189231</v>
      </c>
      <c r="E12" s="34">
        <v>273454538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7" ht="22" customHeight="1" spans="1:6" x14ac:dyDescent="0.25">
      <c r="A17" s="35" t="s">
        <v>99</v>
      </c>
      <c r="B17" s="35"/>
      <c r="C17" s="35"/>
      <c r="D17" s="35"/>
      <c r="E17" s="35"/>
      <c r="F17" s="35"/>
    </row>
    <row r="18" ht="38" customHeight="1" spans="1:6" x14ac:dyDescent="0.25">
      <c r="A18" s="35" t="s">
        <v>100</v>
      </c>
      <c r="B18" s="35"/>
      <c r="C18" s="35"/>
      <c r="D18" s="35"/>
      <c r="E18" s="35"/>
      <c r="F18" s="35"/>
    </row>
    <row r="20" spans="1:1" x14ac:dyDescent="0.25">
      <c r="A20" s="36" t="s">
        <v>101</v>
      </c>
    </row>
  </sheetData>
  <mergeCells count="3">
    <mergeCell ref="A16:F16"/>
    <mergeCell ref="A17:F17"/>
    <mergeCell ref="A18:F18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2026-09-19T00:11:05Z</dcterms:modified>
</cp:coreProperties>
</file>