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<sst xmlns="http://schemas.openxmlformats.org/spreadsheetml/2006/main" count="122" uniqueCount="109">
  <si>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Edison International (EIX)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</si>
  <si>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</si>
  <si>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</si>
  <si>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</si>
  <si>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</si>
  <si>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</si>
  <si>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</si>
  <si>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</si>
  <si>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</si>
  <si>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</si>
  <si>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</si>
  <si>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</si>
  <si>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</si>
  <si>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</si>
  <si>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</si>
  <si>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</si>
  <si>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</si>
  <si>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</si>
  <si>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</si>
  <si>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</si>
  <si>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</si>
  <si>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</si>
  <si>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</si>
  <si>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</si>
  <si>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3.4x interest cover. Book interest / average debt was lower, at 3.9%.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</si>
  <si>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</si>
  <si>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</si>
  <si>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</si>
  <si>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</si>
  <si>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</si>
  <si>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</si>
  <si>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</si>
  <si>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</si>
  <si>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</si>
  <si>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</si>
  <si>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</si>
  <si>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</si>
  <si>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</si>
  <si>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</si>
  <si>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</si>
  <si>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</si>
  <si>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</si>
  <si>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</si>
  <si>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</si>
  <si>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</si>
  <si>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</si>
  <si>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</si>
  <si>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</si>
  <si>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</si>
  <si>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</si>
  <si>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</si>
  <si>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</si>
  <si>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</si>
  <si>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</si>
  <si>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</si>
  <si>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</si>
  <si>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</si>
  <si>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</si>
  <si>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</si>
  <si>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</si>
  <si>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</si>
  <si>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</si>
  <si>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</si>
  <si>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</si>
  <si>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</si>
  <si>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</si>
  <si>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</si>
  <si>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</si>
  <si>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</si>
  <si>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</si>
  <si>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</si>
  <si>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</si>
  <si>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</si>
  <si>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</si>
  <si>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</si>
  <si>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</si>
  <si>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</si>
  <si>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</si>
  <si>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</si>
  <si>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</si>
  <si>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</si>
  <si>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</si>
  <si>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</si>
  <si>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</si>
  <si>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</si>
  <si>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</si>
  <si>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</si>
  <si>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</si>
  <si>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</si>
  <si>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</si>
  <si>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</si>
  <si>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</si>
  <si>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</si>
  <si>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</si>
  <si>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</si>
  <si>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</si>
  <si>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</si>
  <si>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</si>
  <si>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</si>
  <si>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</si>
  <si>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</si>
  <si>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</si>
  <si>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</si>
  <si>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</si>
  <si>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</si>
  <si>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3.6%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</si>
  <si>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Free cashflow is negative in at least one forecast year, so terminal value carries most of the valuation.</t>
  </si>
  <si>
    <t>Adjusted: Capital expenditure runs at 33.3% of revenue against depreciation of 16.1%.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</si>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</sst>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-0.015062344049282972</v>
      </c>
    </row>
    <row r="7" spans="1:2" x14ac:dyDescent="0.25">
      <c r="A7" t="s">
        <v>4</v>
      </c>
      <c r="B7" s="5">
        <v>0.17189217642018462</v>
      </c>
    </row>
    <row r="8" spans="1:2" x14ac:dyDescent="0.25">
      <c r="A8" t="s">
        <v>5</v>
      </c>
      <c r="B8" s="5">
        <v>0.07128712871287128</v>
      </c>
    </row>
    <row r="9" spans="1:2" x14ac:dyDescent="0.25">
      <c r="A9" t="s">
        <v>6</v>
      </c>
      <c r="B9" s="5">
        <v>0.16115170433270357</v>
      </c>
    </row>
    <row r="10" spans="1:3" x14ac:dyDescent="0.25">
      <c r="A10" t="s">
        <v>7</v>
      </c>
      <c r="B10" s="5">
        <v>0.33263582432970235</v>
      </c>
      <c r="C10" s="6" t="s">
        <v>8</v>
      </c>
    </row>
    <row r="11" spans="1:2" x14ac:dyDescent="0.25">
      <c r="A11" t="s">
        <v>9</v>
      </c>
      <c r="B11" s="5">
        <v>0.01162111969999612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7.551331922142268</v>
      </c>
    </row>
    <row r="14" spans="1:3" x14ac:dyDescent="0.25">
      <c r="A14" t="s">
        <v>12</v>
      </c>
      <c r="B14" s="5">
        <v>0.06303814195470188</v>
      </c>
      <c r="C14" s="6" t="s">
        <v>13</v>
      </c>
    </row>
    <row r="15" spans="1:3" x14ac:dyDescent="0.25">
      <c r="A15" t="s">
        <v>14</v>
      </c>
      <c r="B15" s="5">
        <v>0.16115170433270357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0.73803</v>
      </c>
      <c r="C19" s="6" t="s">
        <v>21</v>
      </c>
    </row>
    <row r="20" spans="1:2" x14ac:dyDescent="0.25">
      <c r="A20" t="s">
        <v>22</v>
      </c>
      <c r="B20" s="9">
        <f>B17+B19*B18</f>
        <v>0.080158669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22621640704</v>
      </c>
    </row>
    <row r="23" spans="1:2" x14ac:dyDescent="0.25">
      <c r="A23" t="s">
        <v>26</v>
      </c>
      <c r="B23" s="10">
        <v>41549000000</v>
      </c>
    </row>
    <row r="24" spans="1:2" x14ac:dyDescent="0.25">
      <c r="A24" t="s">
        <v>27</v>
      </c>
      <c r="B24" s="9">
        <f>B22/(B22+B23)</f>
        <v>0.35252321709466594</v>
      </c>
    </row>
    <row r="25" spans="1:2" x14ac:dyDescent="0.25">
      <c r="A25" t="s">
        <v>28</v>
      </c>
      <c r="B25" s="9">
        <f>1-B24</f>
        <v>0.6474767829053341</v>
      </c>
    </row>
    <row r="26" spans="1:2" x14ac:dyDescent="0.25">
      <c r="A26" t="s">
        <v>29</v>
      </c>
      <c r="B26" s="11">
        <f>B24*B20+B25*B21*(1-B8)</f>
        <v>0.06303814195470188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19317000000</v>
      </c>
      <c r="C29" s="6" t="s">
        <v>32</v>
      </c>
    </row>
    <row r="30" spans="1:2" x14ac:dyDescent="0.25">
      <c r="A30" t="s">
        <v>33</v>
      </c>
      <c r="B30" s="10">
        <v>41391000000</v>
      </c>
    </row>
    <row r="31" spans="1:2" x14ac:dyDescent="0.25">
      <c r="A31" t="s">
        <v>34</v>
      </c>
      <c r="B31" s="12">
        <v>386000000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-0.015062344049282972</v>
      </c>
      <c r="C5" s="5">
        <v>0.0342924784135461</v>
      </c>
      <c r="D5" s="5">
        <v>0.03313091861185284</v>
      </c>
      <c r="E5" s="5">
        <v>0.031969358810159575</v>
      </c>
      <c r="F5" s="5">
        <v>0.030807799008466315</v>
      </c>
      <c r="G5" s="5">
        <v>0.02964623920677305</v>
      </c>
      <c r="H5" s="5">
        <v>0.028484679405079788</v>
      </c>
      <c r="I5" s="5">
        <v>0.027323119603386528</v>
      </c>
      <c r="J5" s="5">
        <v>0.026161559801693265</v>
      </c>
      <c r="K5" s="5">
        <v>0.025</v>
      </c>
    </row>
    <row r="6" spans="1:11" x14ac:dyDescent="0.25">
      <c r="A6" t="s">
        <v>50</v>
      </c>
      <c r="B6" s="18">
        <f>Assumptions!B29*(1+B5)</f>
        <v>19026040700</v>
      </c>
      <c r="C6" s="18">
        <f>B6*(1+C5)</f>
        <v>19678490790</v>
      </c>
      <c r="D6" s="18">
        <f>C6*(1+D5)</f>
        <v>20330457266.767586</v>
      </c>
      <c r="E6" s="18">
        <f>D6*(1+E5)</f>
        <v>20980408949.903492</v>
      </c>
      <c r="F6" s="18">
        <f>E6*(1+F5)</f>
        <v>21626769171.947548</v>
      </c>
      <c r="G6" s="18">
        <f>F6*(1+G5)</f>
        <v>22267921544.08877</v>
      </c>
      <c r="H6" s="18">
        <f>G6*(1+H5)</f>
        <v>22902216150.289608</v>
      </c>
      <c r="I6" s="18">
        <f>H6*(1+I5)</f>
        <v>23527976141.34658</v>
      </c>
      <c r="J6" s="18">
        <f>I6*(1+J5)</f>
        <v>24143504696.181232</v>
      </c>
      <c r="K6" s="18">
        <f>J6*(1+K5)</f>
        <v>24747092313.585762</v>
      </c>
    </row>
    <row r="7" spans="1:11" x14ac:dyDescent="0.25">
      <c r="A7" t="s">
        <v>4</v>
      </c>
      <c r="B7" s="9">
        <f>Assumptions!B7</f>
        <v>0.17189217642018462</v>
      </c>
      <c r="C7" s="9">
        <f>Assumptions!B7</f>
        <v>0.17189217642018462</v>
      </c>
      <c r="D7" s="9">
        <f>Assumptions!B7</f>
        <v>0.17189217642018462</v>
      </c>
      <c r="E7" s="9">
        <f>Assumptions!B7</f>
        <v>0.17189217642018462</v>
      </c>
      <c r="F7" s="9">
        <f>Assumptions!B7</f>
        <v>0.17189217642018462</v>
      </c>
      <c r="G7" s="9">
        <f>Assumptions!B7</f>
        <v>0.17189217642018462</v>
      </c>
      <c r="H7" s="9">
        <f>Assumptions!B7</f>
        <v>0.17189217642018462</v>
      </c>
      <c r="I7" s="9">
        <f>Assumptions!B7</f>
        <v>0.17189217642018462</v>
      </c>
      <c r="J7" s="9">
        <f>Assumptions!B7</f>
        <v>0.17189217642018462</v>
      </c>
      <c r="K7" s="9">
        <f>Assumptions!B7</f>
        <v>0.17189217642018462</v>
      </c>
    </row>
    <row r="8" spans="1:11" x14ac:dyDescent="0.25">
      <c r="A8" t="s">
        <v>51</v>
      </c>
      <c r="B8" s="18">
        <f>B6*B7</f>
        <v>3270427544.5820127</v>
      </c>
      <c r="C8" s="18">
        <f>C6*C7</f>
        <v>3382578610.557658</v>
      </c>
      <c r="D8" s="18">
        <f>D6*D7</f>
        <v>3494646547.202238</v>
      </c>
      <c r="E8" s="18">
        <f>E6*E7</f>
        <v>3606368156.584431</v>
      </c>
      <c r="F8" s="18">
        <f>F6*F7</f>
        <v>3717472421.903018</v>
      </c>
      <c r="G8" s="18">
        <f>G6*G7</f>
        <v>3827681498.567337</v>
      </c>
      <c r="H8" s="18">
        <f>H6*H7</f>
        <v>3936711778.9187827</v>
      </c>
      <c r="I8" s="18">
        <f>I6*I7</f>
        <v>4044275025.6982408</v>
      </c>
      <c r="J8" s="18">
        <f>J6*J7</f>
        <v>4150079568.6375403</v>
      </c>
      <c r="K8" s="18">
        <f>K6*K7</f>
        <v>4253831557.8534784</v>
      </c>
    </row>
    <row r="9" spans="1:11" x14ac:dyDescent="0.25">
      <c r="A9" t="s">
        <v>52</v>
      </c>
      <c r="B9" s="18">
        <f>B8*(1-Assumptions!B8)</f>
        <v>3037288155.2652755</v>
      </c>
      <c r="C9" s="18">
        <f>C8*(1-Assumptions!B8)</f>
        <v>3141444293.765429</v>
      </c>
      <c r="D9" s="18">
        <f>D8*(1-Assumptions!B8)</f>
        <v>3245523228.9858413</v>
      </c>
      <c r="E9" s="18">
        <f>E8*(1-Assumptions!B8)</f>
        <v>3349280525.6199965</v>
      </c>
      <c r="F9" s="18">
        <f>F8*(1-Assumptions!B8)</f>
        <v>3452464486.8762684</v>
      </c>
      <c r="G9" s="18">
        <f>G8*(1-Assumptions!B8)</f>
        <v>3554817074.9070916</v>
      </c>
      <c r="H9" s="18">
        <f>H8*(1-Assumptions!B8)</f>
        <v>3656074899.6295233</v>
      </c>
      <c r="I9" s="18">
        <f>I8*(1-Assumptions!B8)</f>
        <v>3755970271.39104</v>
      </c>
      <c r="J9" s="18">
        <f>J8*(1-Assumptions!B8)</f>
        <v>3854232312.259419</v>
      </c>
      <c r="K9" s="18">
        <f>K8*(1-Assumptions!B8)</f>
        <v>3950588120.065904</v>
      </c>
    </row>
    <row r="10" spans="1:11" x14ac:dyDescent="0.25">
      <c r="A10" t="s">
        <v>53</v>
      </c>
      <c r="B10" s="18">
        <f>B6*Assumptions!B9</f>
        <v>3066078885.508384</v>
      </c>
      <c r="C10" s="18">
        <f>C6*Assumptions!B9</f>
        <v>3171222329.50391</v>
      </c>
      <c r="D10" s="18">
        <f>D6*Assumptions!B9</f>
        <v>3276287838.402795</v>
      </c>
      <c r="E10" s="18">
        <f>E6*Assumptions!B9</f>
        <v>3381028659.8740554</v>
      </c>
      <c r="F10" s="18">
        <f>F6*Assumptions!B9</f>
        <v>3485190711.2693195</v>
      </c>
      <c r="G10" s="18">
        <f>G6*Assumptions!B9</f>
        <v>3588513508.7768335</v>
      </c>
      <c r="H10" s="18">
        <f>H6*Assumptions!B9</f>
        <v>3690731165.6151395</v>
      </c>
      <c r="I10" s="18">
        <f>I6*Assumptions!B9</f>
        <v>3791573454.677188</v>
      </c>
      <c r="J10" s="18">
        <f>J6*Assumptions!B9</f>
        <v>3890766930.354238</v>
      </c>
      <c r="K10" s="18">
        <f>K6*Assumptions!B9</f>
        <v>3988036103.613094</v>
      </c>
    </row>
    <row r="11" spans="1:11" x14ac:dyDescent="0.25">
      <c r="A11" t="s">
        <v>54</v>
      </c>
      <c r="B11" s="18">
        <f>-B6*B19</f>
        <v>-6328742731.974967</v>
      </c>
      <c r="C11" s="18">
        <f>-C6*C19</f>
        <v>-6309248997.699377</v>
      </c>
      <c r="D11" s="18">
        <f>-D6*D19</f>
        <v>-6273922013.557115</v>
      </c>
      <c r="E11" s="18">
        <f>-E6*E19</f>
        <v>-6222325103.420514</v>
      </c>
      <c r="F11" s="18">
        <f>-F6*F19</f>
        <v>-6154082262.396381</v>
      </c>
      <c r="G11" s="18">
        <f>-G6*G19</f>
        <v>-6068882461.825154</v>
      </c>
      <c r="H11" s="18">
        <f>-H6*H19</f>
        <v>-5966483650.091105</v>
      </c>
      <c r="I11" s="18">
        <f>-I6*I19</f>
        <v>-5846716406.12216</v>
      </c>
      <c r="J11" s="18">
        <f>-J6*J19</f>
        <v>-5709487204.196208</v>
      </c>
      <c r="K11" s="18">
        <f>-K6*K19</f>
        <v>-5554781250.902146</v>
      </c>
    </row>
    <row r="12" spans="1:11" x14ac:dyDescent="0.25">
      <c r="A12" t="s">
        <v>55</v>
      </c>
      <c r="B12" s="18">
        <f>-(B6-Assumptions!B29)*Assumptions!B11</f>
        <v>3381272.853127081</v>
      </c>
      <c r="C12" s="18">
        <f>-(C6-B6)*Assumptions!B11</f>
        <v>-7582200.594163241</v>
      </c>
      <c r="D12" s="18">
        <f>-(D6-C6)*Assumptions!B11</f>
        <v>-7576580.466900853</v>
      </c>
      <c r="E12" s="18">
        <f>-(E6-D6)*Assumptions!B11</f>
        <v>-7553166.308936316</v>
      </c>
      <c r="F12" s="18">
        <f>-(F6-E6)*Assumptions!B11</f>
        <v>-7511429.509690044</v>
      </c>
      <c r="G12" s="18">
        <f>-(G6-F6)*Assumptions!B11</f>
        <v>-7450908.462589621</v>
      </c>
      <c r="H12" s="18">
        <f>-(H6-G6)*Assumptions!B11</f>
        <v>-7371213.543721818</v>
      </c>
      <c r="I12" s="18">
        <f>-(I6-H6)*Assumptions!B11</f>
        <v>-7272031.759541579</v>
      </c>
      <c r="J12" s="18">
        <f>-(J6-I6)*Assumptions!B11</f>
        <v>-7153131.014499116</v>
      </c>
      <c r="K12" s="18">
        <f>-(K6-J6)*Assumptions!B11</f>
        <v>-7014363.951293499</v>
      </c>
    </row>
    <row r="13" spans="1:11" x14ac:dyDescent="0.25">
      <c r="A13" s="19" t="s">
        <v>56</v>
      </c>
      <c r="B13" s="20">
        <f>B9+B10+B11+B12</f>
        <v>-221994418.3481802</v>
      </c>
      <c r="C13" s="20">
        <f>C9+C10+C11+C12</f>
        <v>-4164575.024201693</v>
      </c>
      <c r="D13" s="20">
        <f>D9+D10+D11+D12</f>
        <v>240312473.36462018</v>
      </c>
      <c r="E13" s="20">
        <f>E9+E10+E11+E12</f>
        <v>500430915.7646015</v>
      </c>
      <c r="F13" s="20">
        <f>F9+F10+F11+F12</f>
        <v>776061506.2395165</v>
      </c>
      <c r="G13" s="20">
        <f>G9+G10+G11+G12</f>
        <v>1066997213.3961817</v>
      </c>
      <c r="H13" s="20">
        <f>H9+H10+H11+H12</f>
        <v>1372951201.6098359</v>
      </c>
      <c r="I13" s="20">
        <f>I9+I10+I11+I12</f>
        <v>1693555288.1865263</v>
      </c>
      <c r="J13" s="20">
        <f>J9+J10+J11+J12</f>
        <v>2028358907.4029498</v>
      </c>
      <c r="K13" s="20">
        <f>K9+K10+K11+K12</f>
        <v>2376828608.825558</v>
      </c>
    </row>
    <row r="14" spans="1:11" x14ac:dyDescent="0.25">
      <c r="A14" t="s">
        <v>57</v>
      </c>
      <c r="B14" s="21">
        <f>1/(1+Assumptions!$B$26)^(1-0.5*Assumptions!$B$32)</f>
        <v>0.9698969113701331</v>
      </c>
      <c r="C14" s="21">
        <f>1/(1+Assumptions!$B$26)^(2-0.5*Assumptions!$B$32)</f>
        <v>0.912382042648722</v>
      </c>
      <c r="D14" s="21">
        <f>1/(1+Assumptions!$B$26)^(3-0.5*Assumptions!$B$32)</f>
        <v>0.8582778045678068</v>
      </c>
      <c r="E14" s="21">
        <f>1/(1+Assumptions!$B$26)^(4-0.5*Assumptions!$B$32)</f>
        <v>0.8073819467941344</v>
      </c>
      <c r="F14" s="21">
        <f>1/(1+Assumptions!$B$26)^(5-0.5*Assumptions!$B$32)</f>
        <v>0.7595042124354354</v>
      </c>
      <c r="G14" s="21">
        <f>1/(1+Assumptions!$B$26)^(6-0.5*Assumptions!$B$32)</f>
        <v>0.7144656268295962</v>
      </c>
      <c r="H14" s="21">
        <f>1/(1+Assumptions!$B$26)^(7-0.5*Assumptions!$B$32)</f>
        <v>0.6720978285086228</v>
      </c>
      <c r="I14" s="21">
        <f>1/(1+Assumptions!$B$26)^(8-0.5*Assumptions!$B$32)</f>
        <v>0.632242439836427</v>
      </c>
      <c r="J14" s="21">
        <f>1/(1+Assumptions!$B$26)^(9-0.5*Assumptions!$B$32)</f>
        <v>0.5947504749677817</v>
      </c>
      <c r="K14" s="21">
        <f>1/(1+Assumptions!$B$26)^(10-0.5*Assumptions!$B$32)</f>
        <v>0.5594817829152974</v>
      </c>
    </row>
    <row r="15" spans="1:11" x14ac:dyDescent="0.25">
      <c r="A15" s="19" t="s">
        <v>58</v>
      </c>
      <c r="B15" s="20">
        <f>B13*B14</f>
        <v>-215311700.6973092</v>
      </c>
      <c r="C15" s="20">
        <f>C13*C14</f>
        <v>-3799683.467344992</v>
      </c>
      <c r="D15" s="20">
        <f>D13*D14</f>
        <v>206254862.04964575</v>
      </c>
      <c r="E15" s="20">
        <f>E13*E14</f>
        <v>404038887.0059955</v>
      </c>
      <c r="F15" s="20">
        <f>F13*F14</f>
        <v>589421983.0979017</v>
      </c>
      <c r="G15" s="20">
        <f>G13*G14</f>
        <v>762332832.8945354</v>
      </c>
      <c r="H15" s="20">
        <f>H13*H14</f>
        <v>922757521.250275</v>
      </c>
      <c r="I15" s="20">
        <f>I13*I14</f>
        <v>1070737527.4009327</v>
      </c>
      <c r="J15" s="20">
        <f>J13*J14</f>
        <v>1206367423.583035</v>
      </c>
      <c r="K15" s="20">
        <f>K13*K14</f>
        <v>1329792307.7498093</v>
      </c>
    </row>
    <row r="17" spans="1:2" x14ac:dyDescent="0.25">
      <c r="A17" s="22" t="s">
        <v>59</v>
      </c>
      <c r="B17" s="23">
        <f>SUM(B15:K15)</f>
        <v>6272591960.867476</v>
      </c>
    </row>
    <row r="19" spans="1:11" x14ac:dyDescent="0.25">
      <c r="A19" t="s">
        <v>7</v>
      </c>
      <c r="B19" s="9">
        <f>Assumptions!$B$10+($B$20-Assumptions!$B$10)*0/9</f>
        <v>0.33263582432970235</v>
      </c>
      <c r="C19" s="9">
        <f>Assumptions!$B$10+($B$20-Assumptions!$B$10)*1/9</f>
        <v>0.3206165078932548</v>
      </c>
      <c r="D19" s="9">
        <f>Assumptions!$B$10+($B$20-Assumptions!$B$10)*2/9</f>
        <v>0.30859719145680725</v>
      </c>
      <c r="E19" s="9">
        <f>Assumptions!$B$10+($B$20-Assumptions!$B$10)*3/9</f>
        <v>0.2965778750203597</v>
      </c>
      <c r="F19" s="9">
        <f>Assumptions!$B$10+($B$20-Assumptions!$B$10)*4/9</f>
        <v>0.28455855858391216</v>
      </c>
      <c r="G19" s="9">
        <f>Assumptions!$B$10+($B$20-Assumptions!$B$10)*5/9</f>
        <v>0.2725392421474646</v>
      </c>
      <c r="H19" s="9">
        <f>Assumptions!$B$10+($B$20-Assumptions!$B$10)*6/9</f>
        <v>0.2605199257110171</v>
      </c>
      <c r="I19" s="9">
        <f>Assumptions!$B$10+($B$20-Assumptions!$B$10)*7/9</f>
        <v>0.24850060927456952</v>
      </c>
      <c r="J19" s="9">
        <f>Assumptions!$B$10+($B$20-Assumptions!$B$10)*8/9</f>
        <v>0.236481292838122</v>
      </c>
      <c r="K19" s="9">
        <f>Assumptions!$B$10+($B$20-Assumptions!$B$10)*9/9</f>
        <v>0.22446197640167445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0.22446197640167445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2376828608.825558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3950588120.065904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0.39658529304313206</v>
      </c>
    </row>
    <row r="7" spans="1:2" x14ac:dyDescent="0.25">
      <c r="A7" t="s">
        <v>66</v>
      </c>
      <c r="B7" s="18">
        <f>-MAX(B5,0)*B6</f>
        <v>-1566745147.2890527</v>
      </c>
    </row>
    <row r="8" spans="1:2" x14ac:dyDescent="0.25">
      <c r="A8" t="s">
        <v>67</v>
      </c>
      <c r="B8" s="18">
        <f>IF(OR(Assumptions!$B$33=0,Assumptions!B12&lt;=0),B5,MAX(B5+B7,0))</f>
        <v>2383842972.7768517</v>
      </c>
    </row>
    <row r="9" spans="1:2" x14ac:dyDescent="0.25">
      <c r="A9" t="s">
        <v>68</v>
      </c>
      <c r="B9" s="18">
        <f>B8*(1+Assumptions!B12)/(Assumptions!B26-Assumptions!B12)</f>
        <v>64236551038.851166</v>
      </c>
    </row>
    <row r="10" spans="1:2" x14ac:dyDescent="0.25">
      <c r="A10" t="s">
        <v>69</v>
      </c>
      <c r="B10" s="18">
        <f>B9/(1+Assumptions!B26)^(10-0.5*Assumptions!B32)</f>
        <v>35939180103.54595</v>
      </c>
    </row>
    <row r="11" spans="1:2" x14ac:dyDescent="0.25">
      <c r="A11" t="s">
        <v>70</v>
      </c>
      <c r="B11" s="18">
        <f>Forecast!B17+B10</f>
        <v>42211772064.41343</v>
      </c>
    </row>
    <row r="12" spans="1:2" x14ac:dyDescent="0.25">
      <c r="A12" t="s">
        <v>71</v>
      </c>
      <c r="B12" s="18">
        <f>-Assumptions!B30</f>
        <v>-41391000000</v>
      </c>
    </row>
    <row r="13" spans="1:2" x14ac:dyDescent="0.25">
      <c r="A13" t="s">
        <v>72</v>
      </c>
      <c r="B13" s="18">
        <f>B11+B12</f>
        <v>820772064.4134293</v>
      </c>
    </row>
    <row r="14" spans="1:2" x14ac:dyDescent="0.25">
      <c r="A14" s="19" t="s">
        <v>73</v>
      </c>
      <c r="B14" s="24">
        <f>B13/Assumptions!B31</f>
        <v>2.1263524984803865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8241867661.466572</v>
      </c>
    </row>
    <row r="18" spans="1:2" x14ac:dyDescent="0.25">
      <c r="A18" t="s">
        <v>68</v>
      </c>
      <c r="B18" s="18">
        <f>B17*Assumptions!B13</f>
        <v>62237078370.10456</v>
      </c>
    </row>
    <row r="19" spans="1:2" x14ac:dyDescent="0.25">
      <c r="A19" t="s">
        <v>69</v>
      </c>
      <c r="B19" s="18">
        <f>B18/(1+Assumptions!B26)^(10-0.5*Assumptions!B32)</f>
        <v>34820511569.94519</v>
      </c>
    </row>
    <row r="20" spans="1:2" x14ac:dyDescent="0.25">
      <c r="A20" t="s">
        <v>70</v>
      </c>
      <c r="B20" s="18">
        <f>Forecast!B17+B19</f>
        <v>41093103530.81267</v>
      </c>
    </row>
    <row r="21" spans="1:2" x14ac:dyDescent="0.25">
      <c r="A21" t="s">
        <v>71</v>
      </c>
      <c r="B21" s="18">
        <f>-Assumptions!B30</f>
        <v>-41391000000</v>
      </c>
    </row>
    <row r="22" spans="1:2" x14ac:dyDescent="0.25">
      <c r="A22" t="s">
        <v>72</v>
      </c>
      <c r="B22" s="18">
        <f>B20+B21</f>
        <v>-297896469.18733215</v>
      </c>
    </row>
    <row r="23" spans="1:2" x14ac:dyDescent="0.25">
      <c r="A23" s="19" t="s">
        <v>73</v>
      </c>
      <c r="B23" s="25">
        <f>B22/Assumptions!B31</f>
        <v>-0.7717525108480108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58.79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2.1263524984803865</v>
      </c>
    </row>
    <row r="29" spans="1:2" x14ac:dyDescent="0.25">
      <c r="A29" s="19" t="s">
        <v>81</v>
      </c>
      <c r="B29" s="11">
        <f>B28/B26-1</f>
        <v>-0.9638313914189423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0.043038</v>
      </c>
      <c r="B5" s="31">
        <v>92.59853316830637</v>
      </c>
      <c r="C5" s="31">
        <v>99.74227049618669</v>
      </c>
      <c r="D5" s="31">
        <v>112.37469785698609</v>
      </c>
      <c r="E5" s="31">
        <v>136.81046093975087</v>
      </c>
      <c r="F5" s="31">
        <v>195.07618774018658</v>
      </c>
    </row>
    <row r="6" spans="1:6" x14ac:dyDescent="0.25">
      <c r="A6" s="30">
        <v>0.053038</v>
      </c>
      <c r="B6" s="31">
        <v>33.86803069387719</v>
      </c>
      <c r="C6" s="31">
        <v>31.297889303480158</v>
      </c>
      <c r="D6" s="31">
        <v>28.72774791308307</v>
      </c>
      <c r="E6" s="31">
        <v>26.157606522685985</v>
      </c>
      <c r="F6" s="31">
        <v>23.587465132288937</v>
      </c>
    </row>
    <row r="7" spans="1:6" x14ac:dyDescent="0.25">
      <c r="A7" s="30">
        <v>0.063038</v>
      </c>
      <c r="B7" s="31">
        <v>6.210895296478608</v>
      </c>
      <c r="C7" s="31">
        <v>4.168781618561799</v>
      </c>
      <c r="D7" s="32">
        <v>2.126667940644951</v>
      </c>
      <c r="E7" s="31">
        <v>0.08455426272814262</v>
      </c>
      <c r="F7" s="31">
        <v>-1.9575594151887055</v>
      </c>
    </row>
    <row r="8" spans="1:6" x14ac:dyDescent="0.25">
      <c r="A8" s="30">
        <v>0.073038</v>
      </c>
      <c r="B8" s="31">
        <v>-13.589607959711579</v>
      </c>
      <c r="C8" s="31">
        <v>-15.25554318675724</v>
      </c>
      <c r="D8" s="31">
        <v>-16.921478413802962</v>
      </c>
      <c r="E8" s="31">
        <v>-18.587413640848613</v>
      </c>
      <c r="F8" s="31">
        <v>-20.253348867894346</v>
      </c>
    </row>
    <row r="9" spans="1:6" x14ac:dyDescent="0.25">
      <c r="A9" s="30">
        <v>0.083038</v>
      </c>
      <c r="B9" s="31">
        <v>-28.391055105844902</v>
      </c>
      <c r="C9" s="31">
        <v>-29.777281017605993</v>
      </c>
      <c r="D9" s="31">
        <v>-31.163506929367117</v>
      </c>
      <c r="E9" s="31">
        <v>-32.54973284112818</v>
      </c>
      <c r="F9" s="31">
        <v>-33.9359587528893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19317000000</v>
      </c>
      <c r="C5" s="18">
        <v>17599000000</v>
      </c>
      <c r="D5" s="18">
        <v>16338000000</v>
      </c>
      <c r="E5" s="18">
        <v>17220000000</v>
      </c>
      <c r="F5" s="6" t="s">
        <v>91</v>
      </c>
    </row>
    <row r="6" spans="1:6" x14ac:dyDescent="0.25">
      <c r="A6" t="s">
        <v>51</v>
      </c>
      <c r="B6" s="18">
        <v>5240000000</v>
      </c>
      <c r="C6" s="18">
        <v>2930000000</v>
      </c>
      <c r="D6" s="18">
        <v>2628000000</v>
      </c>
      <c r="E6" s="18">
        <v>1532000000</v>
      </c>
      <c r="F6" s="6" t="s">
        <v>92</v>
      </c>
    </row>
    <row r="7" spans="1:6" x14ac:dyDescent="0.25">
      <c r="A7" t="s">
        <v>93</v>
      </c>
      <c r="B7" s="18">
        <v>3237000000</v>
      </c>
      <c r="C7" s="18">
        <v>2866000000</v>
      </c>
      <c r="D7" s="18">
        <v>2635000000</v>
      </c>
      <c r="E7" s="18">
        <v>2633000000</v>
      </c>
      <c r="F7" s="6" t="s">
        <v>94</v>
      </c>
    </row>
    <row r="8" spans="1:6" x14ac:dyDescent="0.25">
      <c r="A8" t="s">
        <v>95</v>
      </c>
      <c r="B8" s="18">
        <v>6515000000</v>
      </c>
      <c r="C8" s="18">
        <v>5707000000</v>
      </c>
      <c r="D8" s="18">
        <v>5448000000</v>
      </c>
      <c r="E8" s="18">
        <v>5778000000</v>
      </c>
      <c r="F8" s="6" t="s">
        <v>96</v>
      </c>
    </row>
    <row r="9" spans="1:6" x14ac:dyDescent="0.25">
      <c r="A9" t="s">
        <v>97</v>
      </c>
      <c r="B9" s="18">
        <v>2755000000</v>
      </c>
      <c r="C9" s="18">
        <v>-1063000000</v>
      </c>
      <c r="D9" s="18">
        <v>228000000</v>
      </c>
      <c r="E9" s="18">
        <v>52000000</v>
      </c>
      <c r="F9" s="6" t="s">
        <v>98</v>
      </c>
    </row>
    <row r="10" spans="1:6" x14ac:dyDescent="0.25">
      <c r="A10" t="s">
        <v>99</v>
      </c>
      <c r="B10" s="18">
        <v>41549000000</v>
      </c>
      <c r="C10" s="18">
        <v>37761000000</v>
      </c>
      <c r="D10" s="18">
        <v>35311000000</v>
      </c>
      <c r="E10" s="18">
        <v>33096000000</v>
      </c>
      <c r="F10" s="6" t="s">
        <v>100</v>
      </c>
    </row>
    <row r="11" spans="1:6" x14ac:dyDescent="0.25">
      <c r="A11" t="s">
        <v>101</v>
      </c>
      <c r="B11" s="18">
        <v>158000000</v>
      </c>
      <c r="C11" s="18">
        <v>193000000</v>
      </c>
      <c r="D11" s="18">
        <v>345000000</v>
      </c>
      <c r="E11" s="18">
        <v>914000000</v>
      </c>
      <c r="F11" s="6" t="s">
        <v>102</v>
      </c>
    </row>
    <row r="12" spans="1:6" x14ac:dyDescent="0.25">
      <c r="A12" t="s">
        <v>34</v>
      </c>
      <c r="B12" s="34">
        <v>386000000</v>
      </c>
      <c r="C12" s="34">
        <v>388000000</v>
      </c>
      <c r="D12" s="34">
        <v>385000000</v>
      </c>
      <c r="E12" s="34">
        <v>383000000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7" ht="22" customHeight="1" spans="1:6" x14ac:dyDescent="0.25">
      <c r="A17" s="35" t="s">
        <v>106</v>
      </c>
      <c r="B17" s="35"/>
      <c r="C17" s="35"/>
      <c r="D17" s="35"/>
      <c r="E17" s="35"/>
      <c r="F17" s="35"/>
    </row>
    <row r="18" ht="54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