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<sst xmlns="http://schemas.openxmlformats.org/spreadsheetml/2006/main" count="113" uniqueCount="101">
  <si>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Edison International (EIX)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</si>
  <si>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</si>
  <si>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</si>
  <si>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</si>
  <si>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</si>
  <si>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</si>
  <si>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</si>
  <si>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</si>
  <si>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</si>
  <si>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</si>
  <si>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</si>
  <si>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</si>
  <si>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</si>
  <si>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</si>
  <si>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</si>
  <si>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</si>
  <si>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</si>
  <si>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</si>
  <si>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</si>
  <si>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</si>
  <si>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</si>
  <si>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</si>
  <si>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</si>
  <si>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</si>
  <si>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</si>
  <si>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</si>
  <si>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</si>
  <si>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</si>
  <si>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</si>
  <si>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</si>
  <si>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</si>
  <si>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</si>
  <si>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</si>
  <si>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</si>
  <si>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</si>
  <si>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</si>
  <si>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</si>
  <si>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</si>
  <si>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</si>
  <si>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</si>
  <si>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</si>
  <si>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</si>
  <si>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</si>
  <si>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</si>
  <si>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</si>
  <si>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</si>
  <si>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</si>
  <si>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</si>
  <si>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</si>
  <si>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</si>
  <si>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</si>
  <si>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</si>
  <si>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</si>
  <si>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</si>
  <si>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</si>
  <si>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</si>
  <si>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</si>
  <si>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</si>
  <si>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</si>
  <si>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</si>
  <si>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</si>
  <si>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</si>
  <si>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</si>
  <si>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</si>
  <si>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</si>
  <si>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</si>
  <si>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</si>
  <si>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</si>
  <si>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</si>
  <si>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</si>
  <si>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</si>
  <si>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</si>
  <si>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</si>
  <si>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</si>
  <si>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</si>
  <si>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</si>
  <si>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</si>
  <si>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</si>
  <si>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</si>
  <si>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</si>
  <si>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</si>
  <si>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</si>
  <si>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</si>
  <si>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</si>
  <si>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</si>
  <si>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</si>
  <si>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</si>
  <si>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</si>
  <si>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</si>
  <si>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</si>
  <si>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</si>
  <si>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</si>
  <si>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</si>
  <si>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</si>
  <si>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</si>
  <si>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</si>
  <si>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</si>
  <si>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</si>
  <si>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</si>
  <si>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33.3% of revenue against depreciation of 16.1%.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</si>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</sst>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0.03904776111316921</v>
      </c>
    </row>
    <row r="7" spans="1:2" x14ac:dyDescent="0.25">
      <c r="A7" t="s">
        <v>5</v>
      </c>
      <c r="B7" s="6">
        <v>0.17189217642018462</v>
      </c>
    </row>
    <row r="8" spans="1:2" x14ac:dyDescent="0.25">
      <c r="A8" t="s">
        <v>6</v>
      </c>
      <c r="B8" s="6">
        <v>0.07128712871287128</v>
      </c>
    </row>
    <row r="9" spans="1:2" x14ac:dyDescent="0.25">
      <c r="A9" t="s">
        <v>7</v>
      </c>
      <c r="B9" s="6">
        <v>0.16115170433270357</v>
      </c>
    </row>
    <row r="10" spans="1:2" x14ac:dyDescent="0.25">
      <c r="A10" t="s">
        <v>8</v>
      </c>
      <c r="B10" s="6">
        <v>0.33263582432970235</v>
      </c>
    </row>
    <row r="11" spans="1:2" x14ac:dyDescent="0.25">
      <c r="A11" t="s">
        <v>9</v>
      </c>
      <c r="B11" s="6">
        <v>-0.2585034013605442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7.393542666509378</v>
      </c>
    </row>
    <row r="14" spans="1:3" x14ac:dyDescent="0.25">
      <c r="A14" t="s">
        <v>12</v>
      </c>
      <c r="B14" s="6">
        <v>0.061436397786483014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0.7413799999999999</v>
      </c>
      <c r="C19" s="8" t="s">
        <v>19</v>
      </c>
    </row>
    <row r="20" spans="1:2" x14ac:dyDescent="0.25">
      <c r="A20" t="s">
        <v>20</v>
      </c>
      <c r="B20" s="10">
        <f>B17+B19*B18</f>
        <v>0.0907559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21284061184</v>
      </c>
    </row>
    <row r="23" spans="1:2" x14ac:dyDescent="0.25">
      <c r="A23" t="s">
        <v>24</v>
      </c>
      <c r="B23" s="11">
        <v>41549000000</v>
      </c>
    </row>
    <row r="24" spans="1:2" x14ac:dyDescent="0.25">
      <c r="A24" t="s">
        <v>25</v>
      </c>
      <c r="B24" s="10">
        <f>B22/(B22+B23)</f>
        <v>0.33873984146135855</v>
      </c>
    </row>
    <row r="25" spans="1:2" x14ac:dyDescent="0.25">
      <c r="A25" t="s">
        <v>26</v>
      </c>
      <c r="B25" s="10">
        <f>1-B24</f>
        <v>0.6612601585386415</v>
      </c>
    </row>
    <row r="26" spans="1:2" x14ac:dyDescent="0.25">
      <c r="A26" t="s">
        <v>27</v>
      </c>
      <c r="B26" s="12">
        <f>B24*B20+B25*B21*(1-B8)</f>
        <v>0.061436397786483014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19317000000</v>
      </c>
      <c r="C29" s="8" t="s">
        <v>30</v>
      </c>
    </row>
    <row r="30" spans="1:2" x14ac:dyDescent="0.25">
      <c r="A30" t="s">
        <v>31</v>
      </c>
      <c r="B30" s="11">
        <v>41391000000</v>
      </c>
    </row>
    <row r="31" spans="1:2" x14ac:dyDescent="0.25">
      <c r="A31" t="s">
        <v>32</v>
      </c>
      <c r="B31" s="13">
        <v>386000000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0.03904776111316921</v>
      </c>
      <c r="C5" s="10">
        <f>Assumptions!B6</f>
        <v>0.03904776111316921</v>
      </c>
      <c r="D5" s="10">
        <f>Assumptions!B6</f>
        <v>0.03904776111316921</v>
      </c>
      <c r="E5" s="10">
        <f>Assumptions!B6</f>
        <v>0.03904776111316921</v>
      </c>
      <c r="F5" s="10">
        <f>Assumptions!B6</f>
        <v>0.03904776111316921</v>
      </c>
    </row>
    <row r="6" spans="1:6" x14ac:dyDescent="0.25">
      <c r="A6" t="s">
        <v>43</v>
      </c>
      <c r="B6" s="18">
        <f>Assumptions!B29*(1+B5)</f>
        <v>20071285601.423088</v>
      </c>
      <c r="C6" s="18">
        <f>B6*(1+C5)</f>
        <v>20855024366.82165</v>
      </c>
      <c r="D6" s="18">
        <f>C6*(1+D5)</f>
        <v>21669366376.306625</v>
      </c>
      <c r="E6" s="18">
        <f>D6*(1+E5)</f>
        <v>22515506618.04239</v>
      </c>
      <c r="F6" s="18">
        <f>E6*(1+F5)</f>
        <v>23394686741.805687</v>
      </c>
    </row>
    <row r="7" spans="1:6" x14ac:dyDescent="0.25">
      <c r="A7" t="s">
        <v>5</v>
      </c>
      <c r="B7" s="10">
        <f>Assumptions!B7</f>
        <v>0.17189217642018462</v>
      </c>
      <c r="C7" s="10">
        <f>Assumptions!B7</f>
        <v>0.17189217642018462</v>
      </c>
      <c r="D7" s="10">
        <f>Assumptions!B7</f>
        <v>0.17189217642018462</v>
      </c>
      <c r="E7" s="10">
        <f>Assumptions!B7</f>
        <v>0.17189217642018462</v>
      </c>
      <c r="F7" s="10">
        <f>Assumptions!B7</f>
        <v>0.17189217642018462</v>
      </c>
    </row>
    <row r="8" spans="1:6" x14ac:dyDescent="0.25">
      <c r="A8" t="s">
        <v>44</v>
      </c>
      <c r="B8" s="18">
        <f>B6*B7</f>
        <v>3450096965.5797286</v>
      </c>
      <c r="C8" s="18">
        <f>C6*C7</f>
        <v>3584815527.7089562</v>
      </c>
      <c r="D8" s="18">
        <f>D6*D7</f>
        <v>3724794548.069715</v>
      </c>
      <c r="E8" s="18">
        <f>E6*E7</f>
        <v>3870239435.7783766</v>
      </c>
      <c r="F8" s="18">
        <f>F6*F7</f>
        <v>4021363620.7174172</v>
      </c>
    </row>
    <row r="9" spans="1:6" x14ac:dyDescent="0.25">
      <c r="A9" t="s">
        <v>45</v>
      </c>
      <c r="B9" s="18">
        <f>B8*(1-Assumptions!B8)</f>
        <v>3204149459.12256</v>
      </c>
      <c r="C9" s="18">
        <f>C8*(1-Assumptions!B8)</f>
        <v>3329264321.773268</v>
      </c>
      <c r="D9" s="18">
        <f>D8*(1-Assumptions!B8)</f>
        <v>3459264639.692468</v>
      </c>
      <c r="E9" s="18">
        <f>E8*(1-Assumptions!B8)</f>
        <v>3594341178.970413</v>
      </c>
      <c r="F9" s="18">
        <f>F8*(1-Assumptions!B8)</f>
        <v>3734692154.6860766</v>
      </c>
    </row>
    <row r="10" spans="1:6" x14ac:dyDescent="0.25">
      <c r="A10" t="s">
        <v>46</v>
      </c>
      <c r="B10" s="18">
        <f>B6*Assumptions!B9</f>
        <v>3234521882.817784</v>
      </c>
      <c r="C10" s="18">
        <f>C6*Assumptions!B9</f>
        <v>3360822720.6133714</v>
      </c>
      <c r="D10" s="18">
        <f>D6*Assumptions!B9</f>
        <v>3492055323.3515935</v>
      </c>
      <c r="E10" s="18">
        <f>E6*Assumptions!B9</f>
        <v>3628412265.4117975</v>
      </c>
      <c r="F10" s="18">
        <f>F6*Assumptions!B9</f>
        <v>3770093640.7716904</v>
      </c>
    </row>
    <row r="11" spans="1:6" x14ac:dyDescent="0.25">
      <c r="A11" t="s">
        <v>47</v>
      </c>
      <c r="B11" s="18">
        <f>-B6*Assumptions!B10</f>
        <v>-6676428631.386254</v>
      </c>
      <c r="C11" s="18">
        <f>-C6*Assumptions!B10</f>
        <v>-6937128221.673749</v>
      </c>
      <c r="D11" s="18">
        <f>-D6*Assumptions!B10</f>
        <v>-7208007547.2850895</v>
      </c>
      <c r="E11" s="18">
        <f>-E6*Assumptions!B10</f>
        <v>-7489464104.093399</v>
      </c>
      <c r="F11" s="18">
        <f>-F6*Assumptions!B10</f>
        <v>-7781910909.295693</v>
      </c>
    </row>
    <row r="12" spans="1:6" x14ac:dyDescent="0.25">
      <c r="A12" t="s">
        <v>48</v>
      </c>
      <c r="B12" s="18">
        <f>-(B6-Assumptions!B29)*Assumptions!B11</f>
        <v>194985393.56515202</v>
      </c>
      <c r="C12" s="18">
        <f>-(C6-B6)*Assumptions!B11</f>
        <v>202599136.63364226</v>
      </c>
      <c r="D12" s="18">
        <f>-(D6-C6)*Assumptions!B11</f>
        <v>210510179.32264632</v>
      </c>
      <c r="E12" s="18">
        <f>-(E6-D6)*Assumptions!B11</f>
        <v>218730130.516728</v>
      </c>
      <c r="F12" s="18">
        <f>-(F6-E6)*Assumptions!B11</f>
        <v>227271052.40139678</v>
      </c>
    </row>
    <row r="13" spans="1:6" x14ac:dyDescent="0.25">
      <c r="A13" s="19" t="s">
        <v>49</v>
      </c>
      <c r="B13" s="20">
        <f>B9+B10+B11+B12</f>
        <v>-42771895.880758435</v>
      </c>
      <c r="C13" s="20">
        <f>C9+C10+C11+C12</f>
        <v>-44442042.65346712</v>
      </c>
      <c r="D13" s="20">
        <f>D9+D10+D11+D12</f>
        <v>-46177404.91838151</v>
      </c>
      <c r="E13" s="20">
        <f>E9+E10+E11+E12</f>
        <v>-47980529.1944603</v>
      </c>
      <c r="F13" s="20">
        <f>F9+F10+F11+F12</f>
        <v>-49854061.43652913</v>
      </c>
    </row>
    <row r="14" spans="1:6" x14ac:dyDescent="0.25">
      <c r="A14" t="s">
        <v>50</v>
      </c>
      <c r="B14" s="21">
        <f>1/(1+Assumptions!$B$26)^(1-0.5*Assumptions!$B$32)</f>
        <v>0.9706284394603829</v>
      </c>
      <c r="C14" s="21">
        <f>1/(1+Assumptions!$B$26)^(2-0.5*Assumptions!$B$32)</f>
        <v>0.9144480455772285</v>
      </c>
      <c r="D14" s="21">
        <f>1/(1+Assumptions!$B$26)^(3-0.5*Assumptions!$B$32)</f>
        <v>0.8615193971906525</v>
      </c>
      <c r="E14" s="21">
        <f>1/(1+Assumptions!$B$26)^(4-0.5*Assumptions!$B$32)</f>
        <v>0.8116542818648985</v>
      </c>
      <c r="F14" s="21">
        <f>1/(1+Assumptions!$B$26)^(5-0.5*Assumptions!$B$32)</f>
        <v>0.7646753809813952</v>
      </c>
    </row>
    <row r="15" spans="1:6" x14ac:dyDescent="0.25">
      <c r="A15" s="19" t="s">
        <v>51</v>
      </c>
      <c r="B15" s="20">
        <f>B13*B14</f>
        <v>-41515618.55150254</v>
      </c>
      <c r="C15" s="20">
        <f>C13*C14</f>
        <v>-40639939.04592283</v>
      </c>
      <c r="D15" s="20">
        <f>D13*D14</f>
        <v>-39782730.049112715</v>
      </c>
      <c r="E15" s="20">
        <f>E13*E14</f>
        <v>-38943601.966827475</v>
      </c>
      <c r="F15" s="20">
        <f>F13*F14</f>
        <v>-38122173.42244779</v>
      </c>
    </row>
    <row r="17" spans="1:2" x14ac:dyDescent="0.25">
      <c r="A17" s="22" t="s">
        <v>52</v>
      </c>
      <c r="B17" s="23">
        <f>SUM(B15:F15)</f>
        <v>-199004063.03581336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-49854061.43652913</v>
      </c>
    </row>
    <row r="5" spans="1:2" x14ac:dyDescent="0.25">
      <c r="A5" t="s">
        <v>56</v>
      </c>
      <c r="B5" s="18">
        <f>IF(Assumptions!$B$33=0,B4,B4-Forecast!F11-Forecast!F10-Forecast!F12)</f>
        <v>3734692154.6860766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0.4069248995829049</v>
      </c>
    </row>
    <row r="7" spans="1:2" x14ac:dyDescent="0.25">
      <c r="A7" t="s">
        <v>58</v>
      </c>
      <c r="B7" s="18">
        <f>-MAX(Forecast!F9,0)*B6</f>
        <v>-1519739230.0186944</v>
      </c>
    </row>
    <row r="8" spans="1:2" x14ac:dyDescent="0.25">
      <c r="A8" t="s">
        <v>59</v>
      </c>
      <c r="B8" s="18">
        <f>IF(OR(Assumptions!$B$33=0,Assumptions!B12&lt;=0),B5,MAX(B5+B7,0))</f>
        <v>2214952924.6673822</v>
      </c>
    </row>
    <row r="9" spans="1:2" x14ac:dyDescent="0.25">
      <c r="A9" t="s">
        <v>60</v>
      </c>
      <c r="B9" s="18">
        <f>B8*(1+Assumptions!B12)/(Assumptions!B26-Assumptions!B12)</f>
        <v>62309308430.76647</v>
      </c>
    </row>
    <row r="10" spans="1:2" x14ac:dyDescent="0.25">
      <c r="A10" t="s">
        <v>61</v>
      </c>
      <c r="B10" s="18">
        <f>B9/(1+Assumptions!B26)^(5-0.5*Assumptions!B32)</f>
        <v>47646394162.98361</v>
      </c>
    </row>
    <row r="11" spans="1:2" x14ac:dyDescent="0.25">
      <c r="A11" t="s">
        <v>62</v>
      </c>
      <c r="B11" s="18">
        <f>Forecast!B17+B10</f>
        <v>47447390099.9478</v>
      </c>
    </row>
    <row r="12" spans="1:2" x14ac:dyDescent="0.25">
      <c r="A12" t="s">
        <v>63</v>
      </c>
      <c r="B12" s="18">
        <f>-Assumptions!B30</f>
        <v>-41391000000</v>
      </c>
    </row>
    <row r="13" spans="1:2" x14ac:dyDescent="0.25">
      <c r="A13" t="s">
        <v>64</v>
      </c>
      <c r="B13" s="18">
        <f>B11+B12</f>
        <v>6056390099.9478</v>
      </c>
    </row>
    <row r="14" spans="1:2" x14ac:dyDescent="0.25">
      <c r="A14" s="19" t="s">
        <v>65</v>
      </c>
      <c r="B14" s="24">
        <f>B13/Assumptions!B31</f>
        <v>15.69012979261088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7791457261.489107</v>
      </c>
    </row>
    <row r="18" spans="1:2" x14ac:dyDescent="0.25">
      <c r="A18" t="s">
        <v>60</v>
      </c>
      <c r="B18" s="18">
        <f>B17*Assumptions!B13</f>
        <v>57606471697.104034</v>
      </c>
    </row>
    <row r="19" spans="1:2" x14ac:dyDescent="0.25">
      <c r="A19" t="s">
        <v>61</v>
      </c>
      <c r="B19" s="18">
        <f>B18/(1+Assumptions!B26)^(5-0.5*Assumptions!B32)</f>
        <v>44050250691.97699</v>
      </c>
    </row>
    <row r="20" spans="1:2" x14ac:dyDescent="0.25">
      <c r="A20" t="s">
        <v>62</v>
      </c>
      <c r="B20" s="18">
        <f>Forecast!B17+B19</f>
        <v>43851246628.94118</v>
      </c>
    </row>
    <row r="21" spans="1:2" x14ac:dyDescent="0.25">
      <c r="A21" t="s">
        <v>63</v>
      </c>
      <c r="B21" s="18">
        <f>-Assumptions!B30</f>
        <v>-41391000000</v>
      </c>
    </row>
    <row r="22" spans="1:2" x14ac:dyDescent="0.25">
      <c r="A22" t="s">
        <v>64</v>
      </c>
      <c r="B22" s="18">
        <f>B20+B21</f>
        <v>2460246628.9411774</v>
      </c>
    </row>
    <row r="23" spans="1:2" x14ac:dyDescent="0.25">
      <c r="A23" s="19" t="s">
        <v>65</v>
      </c>
      <c r="B23" s="25">
        <f>B22/Assumptions!B31</f>
        <v>6.373695929899423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15.69012979261088</v>
      </c>
    </row>
    <row r="29" spans="1:2" x14ac:dyDescent="0.25">
      <c r="A29" s="19" t="s">
        <v>73</v>
      </c>
      <c r="B29" s="12">
        <f>B28/B26-1</f>
        <v>-0.7163238149952833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0.041436</v>
      </c>
      <c r="B5" s="31">
        <v>113.11046176376252</v>
      </c>
      <c r="C5" s="31">
        <v>129.3848102897806</v>
      </c>
      <c r="D5" s="31">
        <v>155.0929701302017</v>
      </c>
      <c r="E5" s="31">
        <v>202.60877564284743</v>
      </c>
      <c r="F5" s="31">
        <v>322.7580013900809</v>
      </c>
    </row>
    <row r="6" spans="1:6" x14ac:dyDescent="0.25">
      <c r="A6" s="30">
        <v>0.051436</v>
      </c>
      <c r="B6" s="31">
        <v>45.75575110399159</v>
      </c>
      <c r="C6" s="31">
        <v>47.14977379213728</v>
      </c>
      <c r="D6" s="31">
        <v>48.79249235955625</v>
      </c>
      <c r="E6" s="31">
        <v>50.85793359245395</v>
      </c>
      <c r="F6" s="31">
        <v>53.73188721960736</v>
      </c>
    </row>
    <row r="7" spans="1:6" x14ac:dyDescent="0.25">
      <c r="A7" s="30">
        <v>0.061436</v>
      </c>
      <c r="B7" s="31">
        <v>14.486870744672705</v>
      </c>
      <c r="C7" s="31">
        <v>15.089003728589487</v>
      </c>
      <c r="D7" s="32">
        <v>15.69113671250623</v>
      </c>
      <c r="E7" s="31">
        <v>16.29326969642297</v>
      </c>
      <c r="F7" s="31">
        <v>16.895402680339714</v>
      </c>
    </row>
    <row r="8" spans="1:6" x14ac:dyDescent="0.25">
      <c r="A8" s="30">
        <v>0.071436</v>
      </c>
      <c r="B8" s="31">
        <v>-6.955815331949422</v>
      </c>
      <c r="C8" s="31">
        <v>-6.459368978198096</v>
      </c>
      <c r="D8" s="31">
        <v>-5.96292262444677</v>
      </c>
      <c r="E8" s="31">
        <v>-5.466476270695444</v>
      </c>
      <c r="F8" s="31">
        <v>-4.970029916944138</v>
      </c>
    </row>
    <row r="9" spans="1:6" x14ac:dyDescent="0.25">
      <c r="A9" s="30">
        <v>0.081436</v>
      </c>
      <c r="B9" s="31">
        <v>-22.939277051264085</v>
      </c>
      <c r="C9" s="31">
        <v>-22.52162235129415</v>
      </c>
      <c r="D9" s="31">
        <v>-22.103967651324236</v>
      </c>
      <c r="E9" s="31">
        <v>-21.686312951354278</v>
      </c>
      <c r="F9" s="31">
        <v>-21.26865825138436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19317000000</v>
      </c>
      <c r="C5" s="18">
        <v>17599000000</v>
      </c>
      <c r="D5" s="18">
        <v>16338000000</v>
      </c>
      <c r="E5" s="18">
        <v>17220000000</v>
      </c>
      <c r="F5" s="8" t="s">
        <v>84</v>
      </c>
    </row>
    <row r="6" spans="1:6" x14ac:dyDescent="0.25">
      <c r="A6" t="s">
        <v>44</v>
      </c>
      <c r="B6" s="18">
        <v>5240000000</v>
      </c>
      <c r="C6" s="18">
        <v>2930000000</v>
      </c>
      <c r="D6" s="18">
        <v>2628000000</v>
      </c>
      <c r="E6" s="18">
        <v>1532000000</v>
      </c>
      <c r="F6" s="8" t="s">
        <v>85</v>
      </c>
    </row>
    <row r="7" spans="1:6" x14ac:dyDescent="0.25">
      <c r="A7" t="s">
        <v>86</v>
      </c>
      <c r="B7" s="18">
        <v>3237000000</v>
      </c>
      <c r="C7" s="18">
        <v>2866000000</v>
      </c>
      <c r="D7" s="18">
        <v>2635000000</v>
      </c>
      <c r="E7" s="18">
        <v>2633000000</v>
      </c>
      <c r="F7" s="8" t="s">
        <v>87</v>
      </c>
    </row>
    <row r="8" spans="1:6" x14ac:dyDescent="0.25">
      <c r="A8" t="s">
        <v>88</v>
      </c>
      <c r="B8" s="18">
        <v>6515000000</v>
      </c>
      <c r="C8" s="18">
        <v>5707000000</v>
      </c>
      <c r="D8" s="18">
        <v>5448000000</v>
      </c>
      <c r="E8" s="18">
        <v>5778000000</v>
      </c>
      <c r="F8" s="8" t="s">
        <v>89</v>
      </c>
    </row>
    <row r="9" spans="1:6" x14ac:dyDescent="0.25">
      <c r="A9" t="s">
        <v>90</v>
      </c>
      <c r="B9" s="18">
        <v>2755000000</v>
      </c>
      <c r="C9" s="18">
        <v>-1063000000</v>
      </c>
      <c r="D9" s="18">
        <v>228000000</v>
      </c>
      <c r="E9" s="18">
        <v>52000000</v>
      </c>
      <c r="F9" s="8" t="s">
        <v>91</v>
      </c>
    </row>
    <row r="10" spans="1:6" x14ac:dyDescent="0.25">
      <c r="A10" t="s">
        <v>92</v>
      </c>
      <c r="B10" s="18">
        <v>41549000000</v>
      </c>
      <c r="C10" s="18">
        <v>37761000000</v>
      </c>
      <c r="D10" s="18">
        <v>35311000000</v>
      </c>
      <c r="E10" s="18">
        <v>33096000000</v>
      </c>
      <c r="F10" s="8" t="s">
        <v>93</v>
      </c>
    </row>
    <row r="11" spans="1:6" x14ac:dyDescent="0.25">
      <c r="A11" t="s">
        <v>94</v>
      </c>
      <c r="B11" s="18">
        <v>158000000</v>
      </c>
      <c r="C11" s="18">
        <v>193000000</v>
      </c>
      <c r="D11" s="18">
        <v>345000000</v>
      </c>
      <c r="E11" s="18">
        <v>914000000</v>
      </c>
      <c r="F11" s="8" t="s">
        <v>95</v>
      </c>
    </row>
    <row r="12" spans="1:6" x14ac:dyDescent="0.25">
      <c r="A12" t="s">
        <v>32</v>
      </c>
      <c r="B12" s="34">
        <v>386000000</v>
      </c>
      <c r="C12" s="34">
        <v>388000000</v>
      </c>
      <c r="D12" s="34">
        <v>385000000</v>
      </c>
      <c r="E12" s="34">
        <v>383000000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